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<sst xmlns="http://schemas.openxmlformats.org/spreadsheetml/2006/main" count="71" uniqueCount="68">
  <si>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</si>
  <si>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</si>
  <si>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</si>
  <si>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</si>
  <si>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</si>
  <si>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</si>
  <si>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</si>
  <si>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</si>
  <si>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</si>
  <si>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</si>
  <si>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</si>
  <si>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</si>
  <si>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</si>
  <si>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</si>
  <si>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</si>
  <si>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</si>
  <si>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</si>
  <si>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</si>
  <si>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</si>
  <si>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</si>
  <si>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</si>
  <si>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</si>
  <si>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</si>
  <si>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</si>
  <si>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</si>
  <si>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</si>
  <si>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</si>
  <si>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</si>
  <si>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</si>
  <si>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</si>
  <si>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</si>
  <si>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</si>
  <si>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</si>
  <si>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</si>
  <si>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</si>
  <si>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</si>
  <si>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</si>
  <si>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</si>
  <si>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</si>
  <si>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</si>
  <si>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</si>
  <si>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</si>
  <si>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</si>
  <si>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</si>
  <si>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</si>
  <si>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</si>
  <si>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</si>
  <si>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</si>
  <si>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</si>
  <si>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</si>
  <si>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</si>
  <si>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</si>
  <si>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</si>
  <si>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BRACONS- ÀLIGUES-SANT BARTOMEU</t>
  </si>
  <si>
    <t>Bracons</t>
  </si>
  <si>
    <t>Collada de Sant Bartomeu</t>
  </si>
  <si>
    <t>Coll de Gallina</t>
  </si>
  <si>
    <t>Collet de la Foradada</t>
  </si>
  <si>
    <t>Coll de la coma del coll</t>
  </si>
  <si>
    <t>Pic Àligues</t>
  </si>
  <si>
    <t>carretera Vidrà-Sant Bartomeu</t>
  </si>
  <si>
    <t>Ermita Sant bartomeu</t>
  </si>
  <si>
    <t>Prop Font Tornedissa</t>
  </si>
  <si>
    <t>Bracons (Final)</t>
  </si>
  <si>
    <t>parada 15 mins</t>
  </si>
  <si>
    <t>esmorzar 20 minuts</t>
  </si>
  <si>
    <t>camí no gaire clar però hi ha marques que hi porten. Molt bac i fred</t>
  </si>
  <si>
    <t>deixem un possible camí a la dreta que porta al coll de Sant Bartomeu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</si>
</sst>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1125</c:v>
                </c:pt>
                <c:pt idx="2">
                  <c:v>1625</c:v>
                </c:pt>
                <c:pt idx="3">
                  <c:v>2025</c:v>
                </c:pt>
                <c:pt idx="4">
                  <c:v>3400</c:v>
                </c:pt>
                <c:pt idx="5">
                  <c:v>3700</c:v>
                </c:pt>
                <c:pt idx="6">
                  <c:v>4000</c:v>
                </c:pt>
                <c:pt idx="7">
                  <c:v>5500</c:v>
                </c:pt>
                <c:pt idx="8">
                  <c:v>8250</c:v>
                </c:pt>
                <c:pt idx="9">
                  <c:v>9450</c:v>
                </c:pt>
                <c:pt idx="10">
                  <c:v>11575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1132</c:v>
                </c:pt>
                <c:pt idx="1">
                  <c:v>1249</c:v>
                </c:pt>
                <c:pt idx="2">
                  <c:v>1258</c:v>
                </c:pt>
                <c:pt idx="3">
                  <c:v>1261</c:v>
                </c:pt>
                <c:pt idx="4">
                  <c:v>1257</c:v>
                </c:pt>
                <c:pt idx="5">
                  <c:v>1342</c:v>
                </c:pt>
                <c:pt idx="6">
                  <c:v>1257</c:v>
                </c:pt>
                <c:pt idx="7">
                  <c:v>860</c:v>
                </c:pt>
                <c:pt idx="8">
                  <c:v>1100</c:v>
                </c:pt>
                <c:pt idx="9">
                  <c:v>1280</c:v>
                </c:pt>
                <c:pt idx="10">
                  <c:v>1132</c:v>
                </c:pt>
              </c:numCache>
            </c:numRef>
          </c:yVal>
          <c:smooth val="1"/>
        </c:ser>
        <c:axId val="22733986"/>
        <c:axId val="3279283"/>
      </c:scatterChart>
      <c:valAx>
        <c:axId val="2273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9283"/>
        <c:crosses val="autoZero"/>
        <c:crossBetween val="midCat"/>
        <c:dispUnits/>
      </c:valAx>
      <c:valAx>
        <c:axId val="3279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733986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K16" sqref="K16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53</v>
      </c>
      <c r="D3" s="59"/>
      <c r="E3" s="59"/>
      <c r="F3" s="59"/>
      <c r="G3" s="59"/>
      <c r="H3" s="59"/>
      <c r="I3" s="59"/>
      <c r="J3" s="59"/>
      <c r="K3" s="60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Bracons</v>
      </c>
      <c r="E6" s="56">
        <f>C7</f>
        <v>1132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1132</v>
      </c>
      <c r="D7" s="11" t="s">
        <v>55</v>
      </c>
      <c r="E7" s="12">
        <v>1249</v>
      </c>
      <c r="F7" s="13">
        <v>326</v>
      </c>
      <c r="G7" s="14">
        <f>E7-C7</f>
        <v>117</v>
      </c>
      <c r="H7" s="12">
        <v>1125</v>
      </c>
      <c r="I7" s="14">
        <f>IF(G7&gt;=0,O7*(100+Instruccions!B33)/100,(O7*2/3)*(100+Instruccions!B33)/100)</f>
        <v>31.589999999999996</v>
      </c>
      <c r="J7" s="14">
        <f>I7</f>
        <v>31.589999999999996</v>
      </c>
      <c r="K7" s="19">
        <v>30</v>
      </c>
      <c r="L7" s="15" t="s">
        <v>64</v>
      </c>
      <c r="M7" s="42">
        <f>(ABS(G7)/Instruccions!B31*60)</f>
        <v>17.549999999999997</v>
      </c>
      <c r="N7" s="43">
        <f>(H7/Instruccions!B32*60)</f>
        <v>13.5</v>
      </c>
      <c r="O7" s="43">
        <f>IF(M7&gt;=N7,M7+(N7/2),N7+(M7/2))</f>
        <v>24.299999999999997</v>
      </c>
      <c r="P7" s="44">
        <f>H7</f>
        <v>1125</v>
      </c>
    </row>
    <row r="8" spans="2:16" ht="19.5" customHeight="1">
      <c r="B8" s="16" t="str">
        <f>IF(D7="","",IF(ISERROR(SEARCH("Final",D7))=TRUE,D7,""))</f>
        <v>Collada de Sant Bartomeu</v>
      </c>
      <c r="C8" s="17">
        <f aca="true" t="shared" si="0" ref="C8:C16">IF(B8="",0,E7)</f>
        <v>1249</v>
      </c>
      <c r="D8" s="11" t="s">
        <v>56</v>
      </c>
      <c r="E8" s="12">
        <v>1258</v>
      </c>
      <c r="F8" s="13">
        <v>244</v>
      </c>
      <c r="G8" s="14">
        <f>E8-C8</f>
        <v>9</v>
      </c>
      <c r="H8" s="12">
        <v>500</v>
      </c>
      <c r="I8" s="14">
        <f>IF(G8&gt;=0,O8*(100+Instruccions!B34)/100,(O8*2/3)*(100+Instruccions!B34)/100)</f>
        <v>6.675</v>
      </c>
      <c r="J8" s="21">
        <f aca="true" t="shared" si="1" ref="J8:J26">IF(I8=0,0,I8+J7)</f>
        <v>38.26499999999999</v>
      </c>
      <c r="K8" s="19"/>
      <c r="L8" s="15"/>
      <c r="M8" s="42">
        <f>(ABS(G8)/Instruccions!B31*60)</f>
        <v>1.3499999999999999</v>
      </c>
      <c r="N8" s="43">
        <f>(H8/Instruccions!B32*60)</f>
        <v>6</v>
      </c>
      <c r="O8" s="43">
        <f aca="true" t="shared" si="2" ref="O8:O26">IF(M8&gt;=N8,M8+(N8/2),N8+(M8/2))</f>
        <v>6.675</v>
      </c>
      <c r="P8" s="44">
        <f aca="true" t="shared" si="3" ref="P8:P26">IF(H8=0,NA(),H8+P7)</f>
        <v>1625</v>
      </c>
    </row>
    <row r="9" spans="2:16" ht="19.5" customHeight="1">
      <c r="B9" s="16" t="str">
        <f aca="true" t="shared" si="4" ref="B9:B26">IF(D8="","",IF(ISERROR(SEARCH("Final",D8))=TRUE,D8,""))</f>
        <v>Coll de Gallina</v>
      </c>
      <c r="C9" s="17">
        <f t="shared" si="0"/>
        <v>1258</v>
      </c>
      <c r="D9" s="18" t="s">
        <v>57</v>
      </c>
      <c r="E9" s="19">
        <v>1261</v>
      </c>
      <c r="F9" s="20">
        <v>244</v>
      </c>
      <c r="G9" s="21">
        <f aca="true" t="shared" si="5" ref="G9:G26">E9-C9</f>
        <v>3</v>
      </c>
      <c r="H9" s="19">
        <v>400</v>
      </c>
      <c r="I9" s="21">
        <f>IF(G9&gt;=0,O9*(100+Instruccions!B33)/100,(O9*2/3)*(100+Instruccions!B33)/100)</f>
        <v>6.532499999999999</v>
      </c>
      <c r="J9" s="21">
        <f t="shared" si="1"/>
        <v>44.79749999999999</v>
      </c>
      <c r="K9" s="19"/>
      <c r="L9" s="22"/>
      <c r="M9" s="42">
        <f>(ABS(G9)/Instruccions!B31*60)</f>
        <v>0.44999999999999996</v>
      </c>
      <c r="N9" s="43">
        <f>(H9/Instruccions!B32*60)</f>
        <v>4.8</v>
      </c>
      <c r="O9" s="43">
        <f t="shared" si="2"/>
        <v>5.0249999999999995</v>
      </c>
      <c r="P9" s="44">
        <f t="shared" si="3"/>
        <v>2025</v>
      </c>
    </row>
    <row r="10" spans="2:16" ht="19.5" customHeight="1">
      <c r="B10" s="16" t="str">
        <f t="shared" si="4"/>
        <v>Collet de la Foradada</v>
      </c>
      <c r="C10" s="17">
        <f t="shared" si="0"/>
        <v>1261</v>
      </c>
      <c r="D10" s="18" t="s">
        <v>58</v>
      </c>
      <c r="E10" s="19">
        <v>1257</v>
      </c>
      <c r="F10" s="20">
        <v>244</v>
      </c>
      <c r="G10" s="21">
        <f t="shared" si="5"/>
        <v>-4</v>
      </c>
      <c r="H10" s="19">
        <v>1375</v>
      </c>
      <c r="I10" s="21">
        <f>IF(G10&gt;=0,O10*(100+Instruccions!B33)/100,(O10*2/3)*(100+Instruccions!B33)/100)</f>
        <v>14.560000000000002</v>
      </c>
      <c r="J10" s="21">
        <f t="shared" si="1"/>
        <v>59.357499999999995</v>
      </c>
      <c r="K10" s="19">
        <v>95</v>
      </c>
      <c r="L10" s="22"/>
      <c r="M10" s="42">
        <f>(ABS(G10)/Instruccions!B31*60)</f>
        <v>0.6</v>
      </c>
      <c r="N10" s="43">
        <f>(H10/Instruccions!B32*60)</f>
        <v>16.5</v>
      </c>
      <c r="O10" s="43">
        <f t="shared" si="2"/>
        <v>16.8</v>
      </c>
      <c r="P10" s="44">
        <f t="shared" si="3"/>
        <v>3400</v>
      </c>
    </row>
    <row r="11" spans="2:16" ht="19.5" customHeight="1">
      <c r="B11" s="16" t="str">
        <f t="shared" si="4"/>
        <v>Coll de la coma del coll</v>
      </c>
      <c r="C11" s="17">
        <f t="shared" si="0"/>
        <v>1257</v>
      </c>
      <c r="D11" s="18" t="s">
        <v>59</v>
      </c>
      <c r="E11" s="19">
        <v>1342</v>
      </c>
      <c r="F11" s="20">
        <v>50</v>
      </c>
      <c r="G11" s="21">
        <f t="shared" si="5"/>
        <v>85</v>
      </c>
      <c r="H11" s="19">
        <v>300</v>
      </c>
      <c r="I11" s="21">
        <f>IF(G11&gt;=0,O11*(100+Instruccions!B33)/100,(O11*2/3)*(100+Instruccions!B33)/100)</f>
        <v>18.915</v>
      </c>
      <c r="J11" s="21">
        <f t="shared" si="1"/>
        <v>78.2725</v>
      </c>
      <c r="K11" s="19">
        <v>120</v>
      </c>
      <c r="L11" s="22" t="s">
        <v>65</v>
      </c>
      <c r="M11" s="42">
        <f>(ABS(G11)/Instruccions!B31*60)</f>
        <v>12.75</v>
      </c>
      <c r="N11" s="43">
        <f>(H11/Instruccions!B32*60)</f>
        <v>3.5999999999999996</v>
      </c>
      <c r="O11" s="43">
        <f t="shared" si="2"/>
        <v>14.55</v>
      </c>
      <c r="P11" s="44">
        <f t="shared" si="3"/>
        <v>3700</v>
      </c>
    </row>
    <row r="12" spans="2:16" ht="19.5" customHeight="1">
      <c r="B12" s="16" t="str">
        <f t="shared" si="4"/>
        <v>Pic Àligues</v>
      </c>
      <c r="C12" s="17">
        <f t="shared" si="0"/>
        <v>1342</v>
      </c>
      <c r="D12" s="18" t="s">
        <v>58</v>
      </c>
      <c r="E12" s="19">
        <v>1257</v>
      </c>
      <c r="F12" s="20">
        <v>226</v>
      </c>
      <c r="G12" s="21">
        <f t="shared" si="5"/>
        <v>-85</v>
      </c>
      <c r="H12" s="19">
        <v>300</v>
      </c>
      <c r="I12" s="21">
        <f>IF(G12&gt;=0,O12*(100+Instruccions!B33)/100,(O12*2/3)*(100+Instruccions!B33)/100)</f>
        <v>12.610000000000003</v>
      </c>
      <c r="J12" s="21">
        <f t="shared" si="1"/>
        <v>90.8825</v>
      </c>
      <c r="K12" s="19"/>
      <c r="L12" s="22" t="s">
        <v>66</v>
      </c>
      <c r="M12" s="42">
        <f>(ABS(G12)/Instruccions!B31*60)</f>
        <v>12.75</v>
      </c>
      <c r="N12" s="43">
        <f>(H12/Instruccions!B32*60)</f>
        <v>3.5999999999999996</v>
      </c>
      <c r="O12" s="43">
        <f t="shared" si="2"/>
        <v>14.55</v>
      </c>
      <c r="P12" s="44">
        <f t="shared" si="3"/>
        <v>4000</v>
      </c>
    </row>
    <row r="13" spans="2:16" ht="19.5" customHeight="1">
      <c r="B13" s="16" t="str">
        <f t="shared" si="4"/>
        <v>Coll de la coma del coll</v>
      </c>
      <c r="C13" s="17">
        <f t="shared" si="0"/>
        <v>1257</v>
      </c>
      <c r="D13" s="18" t="s">
        <v>60</v>
      </c>
      <c r="E13" s="19">
        <v>860</v>
      </c>
      <c r="F13" s="20">
        <v>340</v>
      </c>
      <c r="G13" s="21">
        <f t="shared" si="5"/>
        <v>-397</v>
      </c>
      <c r="H13" s="19">
        <v>1500</v>
      </c>
      <c r="I13" s="21">
        <f>IF(G13&gt;=0,O13*(100+Instruccions!B33)/100,(O13*2/3)*(100+Instruccions!B33)/100)</f>
        <v>59.41000000000001</v>
      </c>
      <c r="J13" s="21">
        <f t="shared" si="1"/>
        <v>150.29250000000002</v>
      </c>
      <c r="K13" s="19">
        <v>190</v>
      </c>
      <c r="L13" s="22"/>
      <c r="M13" s="42">
        <f>(ABS(G13)/Instruccions!B31*60)</f>
        <v>59.550000000000004</v>
      </c>
      <c r="N13" s="43">
        <f>(H13/Instruccions!B32*60)</f>
        <v>18</v>
      </c>
      <c r="O13" s="43">
        <f t="shared" si="2"/>
        <v>68.55000000000001</v>
      </c>
      <c r="P13" s="44">
        <f t="shared" si="3"/>
        <v>5500</v>
      </c>
    </row>
    <row r="14" spans="2:16" ht="19.5" customHeight="1">
      <c r="B14" s="16" t="str">
        <f t="shared" si="4"/>
        <v>carretera Vidrà-Sant Bartomeu</v>
      </c>
      <c r="C14" s="17">
        <f t="shared" si="0"/>
        <v>860</v>
      </c>
      <c r="D14" s="18" t="s">
        <v>61</v>
      </c>
      <c r="E14" s="19">
        <v>1100</v>
      </c>
      <c r="F14" s="20">
        <v>70</v>
      </c>
      <c r="G14" s="21">
        <f t="shared" si="5"/>
        <v>240</v>
      </c>
      <c r="H14" s="19">
        <v>2750</v>
      </c>
      <c r="I14" s="21">
        <f>IF(G14&gt;=0,O14*(100+Instruccions!B33)/100,(O14*2/3)*(100+Instruccions!B33)/100)</f>
        <v>68.25</v>
      </c>
      <c r="J14" s="21">
        <f t="shared" si="1"/>
        <v>218.54250000000002</v>
      </c>
      <c r="K14" s="19">
        <v>245</v>
      </c>
      <c r="L14" s="22"/>
      <c r="M14" s="42">
        <f>(ABS(G14)/Instruccions!B31*60)</f>
        <v>36</v>
      </c>
      <c r="N14" s="43">
        <f>(H14/Instruccions!B32*60)</f>
        <v>33</v>
      </c>
      <c r="O14" s="43">
        <f t="shared" si="2"/>
        <v>52.5</v>
      </c>
      <c r="P14" s="44">
        <f t="shared" si="3"/>
        <v>8250</v>
      </c>
    </row>
    <row r="15" spans="2:16" ht="19.5" customHeight="1">
      <c r="B15" s="16" t="str">
        <f t="shared" si="4"/>
        <v>Ermita Sant bartomeu</v>
      </c>
      <c r="C15" s="17">
        <f t="shared" si="0"/>
        <v>1100</v>
      </c>
      <c r="D15" s="18" t="s">
        <v>62</v>
      </c>
      <c r="E15" s="19">
        <v>1280</v>
      </c>
      <c r="F15" s="20">
        <v>106</v>
      </c>
      <c r="G15" s="21">
        <f t="shared" si="5"/>
        <v>180</v>
      </c>
      <c r="H15" s="19">
        <v>1200</v>
      </c>
      <c r="I15" s="21">
        <f>IF(G15&gt;=0,O15*(100+Instruccions!B33)/100,(O15*2/3)*(100+Instruccions!B33)/100)</f>
        <v>44.46</v>
      </c>
      <c r="J15" s="21">
        <f t="shared" si="1"/>
        <v>263.0025</v>
      </c>
      <c r="K15" s="19">
        <v>265</v>
      </c>
      <c r="L15" s="22" t="s">
        <v>67</v>
      </c>
      <c r="M15" s="42">
        <f>(ABS(G15)/Instruccions!B31*60)</f>
        <v>27</v>
      </c>
      <c r="N15" s="43">
        <f>(H15/Instruccions!B32*60)</f>
        <v>14.399999999999999</v>
      </c>
      <c r="O15" s="43">
        <f t="shared" si="2"/>
        <v>34.2</v>
      </c>
      <c r="P15" s="44">
        <f t="shared" si="3"/>
        <v>9450</v>
      </c>
    </row>
    <row r="16" spans="2:16" ht="19.5" customHeight="1">
      <c r="B16" s="16" t="str">
        <f t="shared" si="4"/>
        <v>Prop Font Tornedissa</v>
      </c>
      <c r="C16" s="17">
        <f t="shared" si="0"/>
        <v>1280</v>
      </c>
      <c r="D16" s="18" t="s">
        <v>63</v>
      </c>
      <c r="E16" s="19">
        <v>1132</v>
      </c>
      <c r="F16" s="20">
        <v>172</v>
      </c>
      <c r="G16" s="21">
        <f t="shared" si="5"/>
        <v>-148</v>
      </c>
      <c r="H16" s="19">
        <v>2125</v>
      </c>
      <c r="I16" s="21">
        <f>IF(G16&gt;=0,O16*(100+Instruccions!B33)/100,(O16*2/3)*(100+Instruccions!B33)/100)</f>
        <v>31.720000000000006</v>
      </c>
      <c r="J16" s="21">
        <f t="shared" si="1"/>
        <v>294.7225</v>
      </c>
      <c r="K16" s="19">
        <v>305</v>
      </c>
      <c r="L16" s="22"/>
      <c r="M16" s="42">
        <f>(ABS(G16)/Instruccions!B31*60)</f>
        <v>22.2</v>
      </c>
      <c r="N16" s="43">
        <f>(H16/Instruccions!B32*60)</f>
        <v>25.5</v>
      </c>
      <c r="O16" s="43">
        <f t="shared" si="2"/>
        <v>36.6</v>
      </c>
      <c r="P16" s="44">
        <f t="shared" si="3"/>
        <v>11575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11575</v>
      </c>
      <c r="D28" s="33"/>
    </row>
    <row r="29" spans="2:4" ht="19.5" customHeight="1">
      <c r="B29" s="8" t="s">
        <v>17</v>
      </c>
      <c r="C29" s="6">
        <f>SUM(I7:I27)</f>
        <v>294.7225</v>
      </c>
      <c r="D29" s="34">
        <f>C29/60</f>
        <v>4.912041666666667</v>
      </c>
    </row>
    <row r="30" spans="2:4" ht="19.5" customHeight="1">
      <c r="B30" s="8" t="s">
        <v>18</v>
      </c>
      <c r="C30" s="6">
        <f>SUMIF(G7:G27,"&gt;0",G7:G27)</f>
        <v>634</v>
      </c>
      <c r="D30" s="35"/>
    </row>
    <row r="31" spans="2:4" ht="17.25" customHeight="1" thickBot="1">
      <c r="B31" s="9" t="s">
        <v>19</v>
      </c>
      <c r="C31" s="7">
        <f>SUMIF(G7:G27,"&lt;0",G7:G27)</f>
        <v>-634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2" sqref="B32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2005-12-28T14:55:23Z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