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<sst xmlns="http://schemas.openxmlformats.org/spreadsheetml/2006/main" count="82" uniqueCount="80">
  <si>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</si>
  <si>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</si>
  <si>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</si>
  <si>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</si>
  <si>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</si>
  <si>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</si>
  <si>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</si>
  <si>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</si>
  <si>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</si>
  <si>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</si>
  <si>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</si>
  <si>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</si>
  <si>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</si>
  <si>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</si>
  <si>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</si>
  <si>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</si>
  <si>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</si>
  <si>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</si>
  <si>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</si>
  <si>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</si>
  <si>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</si>
  <si>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</si>
  <si>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</si>
  <si>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</si>
  <si>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</si>
  <si>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</si>
  <si>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</si>
  <si>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</si>
  <si>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</si>
  <si>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</si>
  <si>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</si>
  <si>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</si>
  <si>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</si>
  <si>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</si>
  <si>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</si>
  <si>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</si>
  <si>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</si>
  <si>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</si>
  <si>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</si>
  <si>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</si>
  <si>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</si>
  <si>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</si>
  <si>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</si>
  <si>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</si>
  <si>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</si>
  <si>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</si>
  <si>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</si>
  <si>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</si>
  <si>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</si>
  <si>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</si>
  <si>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</si>
  <si>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</si>
  <si>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</si>
  <si>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CAMÍ DE LES ALIGUES</t>
  </si>
  <si>
    <t>Can Baldirot (Falgons)</t>
  </si>
  <si>
    <t>collferrer</t>
  </si>
  <si>
    <t>collet de Bastarra</t>
  </si>
  <si>
    <t>Llebrera</t>
  </si>
  <si>
    <t>collet de Trentinyà</t>
  </si>
  <si>
    <t>el Montner</t>
  </si>
  <si>
    <t>collet de Portelles</t>
  </si>
  <si>
    <t>Golany</t>
  </si>
  <si>
    <t>coll Saposa</t>
  </si>
  <si>
    <t>coll dels Tres Senyors</t>
  </si>
  <si>
    <t>camí mercader (prop Sant Nicolau)</t>
  </si>
  <si>
    <t>Can Baldirot (Falgons) (Final)</t>
  </si>
  <si>
    <t>De tots els camins que surten del coll de Bastarra agafarem el de l'esquerre i al cap d'uns 100 m deixarem la pista i pujarem per un camí una mica enboscat fins al pic</t>
  </si>
  <si>
    <t>Baixada en alguns punts molt dreta amb diversos miradors. Compte a no desviar-se cap a la part bac, ja que el camí segueix força per la carena.</t>
  </si>
  <si>
    <t>forta pujada fins a la Roca Plana de Golany</t>
  </si>
  <si>
    <t>Seguirem per la pista fins al Coll Saposa</t>
  </si>
  <si>
    <t>El Serrat vermell</t>
  </si>
  <si>
    <t>font del corral</t>
  </si>
  <si>
    <t>Deixem cotxe inici trencall de can Baldirot, seguim pista passant per can Peracollell.</t>
  </si>
  <si>
    <t>Collferrer és un coll molt ample. Després del coll agafem segon trencall a l'esquerre que puja en forta ascenció fins a trobar una pista. La pista fa unes paelles molt grans. Trobem bifurcació agafem carretera dreta que té pastor elèctric. Arribem a la casa de Bastarra, baixem a la casa i agafem cap a a la font.</t>
  </si>
  <si>
    <t>El camí és una mica perdedor, però s'aconsegueix arribar a dalt tot seguint la carena. Al cim hi ha una esplanada amb una fita grossa.</t>
  </si>
  <si>
    <t>Agafem en direccció a can Vives, però seguirem la pista quan aquesta esdevé camí per anar cap a Can Vivesi can Mitjà</t>
  </si>
  <si>
    <t>baixem en direcci Sant Nicolau, però en lloc de seguir cap a la font baixem uns 100m més de camí fins a trobar una segona bifurcació.</t>
  </si>
  <si>
    <t>Reculem tot planejant fins a uns 5 minuts del coll de Portelles, deixant un primer camí a la dreta que baixa a Falgons (camí dels matxos). Trobem pista a la dreta.</t>
  </si>
  <si>
    <t>Seguim pista de desforestar que ens deixa a 80m de la font.</t>
  </si>
  <si>
    <t>Seguim carretera amb molts de bassals i atrevesant dos rierols fins a can Baldirot.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</si>
</sst>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750</c:v>
                </c:pt>
                <c:pt idx="2">
                  <c:v>3250</c:v>
                </c:pt>
                <c:pt idx="3">
                  <c:v>3950</c:v>
                </c:pt>
                <c:pt idx="4">
                  <c:v>4500</c:v>
                </c:pt>
                <c:pt idx="5">
                  <c:v>5200</c:v>
                </c:pt>
                <c:pt idx="6">
                  <c:v>6000</c:v>
                </c:pt>
                <c:pt idx="7">
                  <c:v>6750</c:v>
                </c:pt>
                <c:pt idx="8">
                  <c:v>7600</c:v>
                </c:pt>
                <c:pt idx="9">
                  <c:v>8500</c:v>
                </c:pt>
                <c:pt idx="10">
                  <c:v>9200</c:v>
                </c:pt>
                <c:pt idx="11">
                  <c:v>11200</c:v>
                </c:pt>
                <c:pt idx="12">
                  <c:v>12050</c:v>
                </c:pt>
                <c:pt idx="13">
                  <c:v>13250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390</c:v>
                </c:pt>
                <c:pt idx="1">
                  <c:v>470</c:v>
                </c:pt>
                <c:pt idx="2">
                  <c:v>703</c:v>
                </c:pt>
                <c:pt idx="3">
                  <c:v>813</c:v>
                </c:pt>
                <c:pt idx="4">
                  <c:v>707</c:v>
                </c:pt>
                <c:pt idx="5">
                  <c:v>837</c:v>
                </c:pt>
                <c:pt idx="6">
                  <c:v>687</c:v>
                </c:pt>
                <c:pt idx="7">
                  <c:v>877</c:v>
                </c:pt>
                <c:pt idx="8">
                  <c:v>819</c:v>
                </c:pt>
                <c:pt idx="9">
                  <c:v>808</c:v>
                </c:pt>
                <c:pt idx="10">
                  <c:v>720</c:v>
                </c:pt>
                <c:pt idx="11">
                  <c:v>683</c:v>
                </c:pt>
                <c:pt idx="12">
                  <c:v>400</c:v>
                </c:pt>
                <c:pt idx="13">
                  <c:v>390</c:v>
                </c:pt>
              </c:numCache>
            </c:numRef>
          </c:yVal>
          <c:smooth val="1"/>
        </c:ser>
        <c:axId val="48776874"/>
        <c:axId val="5243203"/>
      </c:scatterChart>
      <c:valAx>
        <c:axId val="48776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203"/>
        <c:crosses val="autoZero"/>
        <c:crossBetween val="midCat"/>
        <c:dispUnits/>
      </c:valAx>
      <c:valAx>
        <c:axId val="5243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776874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workbookViewId="0" topLeftCell="A1">
      <selection activeCell="D19" sqref="D19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53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Can Baldirot (Falgons)</v>
      </c>
      <c r="E6" s="56">
        <f>C7</f>
        <v>390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390</v>
      </c>
      <c r="D7" s="11" t="s">
        <v>55</v>
      </c>
      <c r="E7" s="12">
        <v>470</v>
      </c>
      <c r="F7" s="13">
        <v>212</v>
      </c>
      <c r="G7" s="14">
        <f>E7-C7</f>
        <v>80</v>
      </c>
      <c r="H7" s="12">
        <v>750</v>
      </c>
      <c r="I7" s="14">
        <f>IF(G7&gt;=0,O7*(100+Instruccions!B33)/100,(O7*2/3)*(100+Instruccions!B33)/100)</f>
        <v>26.2</v>
      </c>
      <c r="J7" s="14">
        <f>I7</f>
        <v>26.2</v>
      </c>
      <c r="K7" s="19"/>
      <c r="L7" s="15" t="s">
        <v>72</v>
      </c>
      <c r="M7" s="42">
        <f>(ABS(G7)/Instruccions!B31*60)</f>
        <v>13.714285714285714</v>
      </c>
      <c r="N7" s="43">
        <f>(H7/Instruccions!B32*60)</f>
        <v>10</v>
      </c>
      <c r="O7" s="43">
        <f>IF(M7&gt;=N7,M7+(N7/2),N7+(M7/2))</f>
        <v>18.714285714285715</v>
      </c>
      <c r="P7" s="44">
        <f>H7</f>
        <v>750</v>
      </c>
    </row>
    <row r="8" spans="2:16" ht="19.5" customHeight="1">
      <c r="B8" s="16" t="str">
        <f>IF(D7="","",IF(ISERROR(SEARCH("Final",D7))=TRUE,D7,""))</f>
        <v>collferrer</v>
      </c>
      <c r="C8" s="17">
        <f aca="true" t="shared" si="0" ref="C8:C16">IF(B8="",0,E7)</f>
        <v>470</v>
      </c>
      <c r="D8" s="11" t="s">
        <v>56</v>
      </c>
      <c r="E8" s="12">
        <v>703</v>
      </c>
      <c r="F8" s="13">
        <v>230</v>
      </c>
      <c r="G8" s="14">
        <f>E8-C8</f>
        <v>233</v>
      </c>
      <c r="H8" s="12">
        <v>2500</v>
      </c>
      <c r="I8" s="14">
        <f>IF(G8&gt;=0,O8*(100+Instruccions!B34)/100,(O8*2/3)*(100+Instruccions!B34)/100)</f>
        <v>56.60952380952381</v>
      </c>
      <c r="J8" s="21">
        <f aca="true" t="shared" si="1" ref="J8:J26">IF(I8=0,0,I8+J7)</f>
        <v>82.80952380952381</v>
      </c>
      <c r="K8" s="19"/>
      <c r="L8" s="15" t="s">
        <v>73</v>
      </c>
      <c r="M8" s="42">
        <f>(ABS(G8)/Instruccions!B31*60)</f>
        <v>39.94285714285714</v>
      </c>
      <c r="N8" s="43">
        <f>(H8/Instruccions!B32*60)</f>
        <v>33.333333333333336</v>
      </c>
      <c r="O8" s="43">
        <f aca="true" t="shared" si="2" ref="O8:O26">IF(M8&gt;=N8,M8+(N8/2),N8+(M8/2))</f>
        <v>56.60952380952381</v>
      </c>
      <c r="P8" s="44">
        <f aca="true" t="shared" si="3" ref="P8:P26">IF(H8=0,NA(),H8+P7)</f>
        <v>3250</v>
      </c>
    </row>
    <row r="9" spans="2:16" ht="19.5" customHeight="1">
      <c r="B9" s="16" t="str">
        <f aca="true" t="shared" si="4" ref="B9:B26">IF(D8="","",IF(ISERROR(SEARCH("Final",D8))=TRUE,D8,""))</f>
        <v>collet de Bastarra</v>
      </c>
      <c r="C9" s="17">
        <f t="shared" si="0"/>
        <v>703</v>
      </c>
      <c r="D9" s="18" t="s">
        <v>57</v>
      </c>
      <c r="E9" s="19">
        <v>813</v>
      </c>
      <c r="F9" s="20">
        <v>88</v>
      </c>
      <c r="G9" s="21">
        <f aca="true" t="shared" si="5" ref="G9:G26">E9-C9</f>
        <v>110</v>
      </c>
      <c r="H9" s="19">
        <v>700</v>
      </c>
      <c r="I9" s="21">
        <f>IF(G9&gt;=0,O9*(100+Instruccions!B33)/100,(O9*2/3)*(100+Instruccions!B33)/100)</f>
        <v>32.93333333333334</v>
      </c>
      <c r="J9" s="21">
        <f t="shared" si="1"/>
        <v>115.74285714285715</v>
      </c>
      <c r="K9" s="19"/>
      <c r="L9" s="22" t="s">
        <v>66</v>
      </c>
      <c r="M9" s="42">
        <f>(ABS(G9)/Instruccions!B31*60)</f>
        <v>18.857142857142858</v>
      </c>
      <c r="N9" s="43">
        <f>(H9/Instruccions!B32*60)</f>
        <v>9.333333333333334</v>
      </c>
      <c r="O9" s="43">
        <f t="shared" si="2"/>
        <v>23.523809523809526</v>
      </c>
      <c r="P9" s="44">
        <f t="shared" si="3"/>
        <v>3950</v>
      </c>
    </row>
    <row r="10" spans="2:16" ht="19.5" customHeight="1">
      <c r="B10" s="16" t="str">
        <f t="shared" si="4"/>
        <v>Llebrera</v>
      </c>
      <c r="C10" s="17">
        <f t="shared" si="0"/>
        <v>813</v>
      </c>
      <c r="D10" s="18" t="s">
        <v>58</v>
      </c>
      <c r="E10" s="19">
        <v>707</v>
      </c>
      <c r="F10" s="20">
        <v>120</v>
      </c>
      <c r="G10" s="21">
        <f t="shared" si="5"/>
        <v>-106</v>
      </c>
      <c r="H10" s="19">
        <v>550</v>
      </c>
      <c r="I10" s="21">
        <f>IF(G10&gt;=0,O10*(100+Instruccions!B33)/100,(O10*2/3)*(100+Instruccions!B33)/100)</f>
        <v>20.382222222222225</v>
      </c>
      <c r="J10" s="21">
        <f t="shared" si="1"/>
        <v>136.1250793650794</v>
      </c>
      <c r="K10" s="57"/>
      <c r="L10" s="22"/>
      <c r="M10" s="42">
        <f>(ABS(G10)/Instruccions!B31*60)</f>
        <v>18.171428571428574</v>
      </c>
      <c r="N10" s="43">
        <f>(H10/Instruccions!B32*60)</f>
        <v>7.333333333333333</v>
      </c>
      <c r="O10" s="43">
        <f t="shared" si="2"/>
        <v>21.838095238095242</v>
      </c>
      <c r="P10" s="44">
        <f t="shared" si="3"/>
        <v>4500</v>
      </c>
    </row>
    <row r="11" spans="2:16" ht="19.5" customHeight="1">
      <c r="B11" s="16" t="str">
        <f t="shared" si="4"/>
        <v>collet de Trentinyà</v>
      </c>
      <c r="C11" s="17">
        <f t="shared" si="0"/>
        <v>707</v>
      </c>
      <c r="D11" s="18" t="s">
        <v>59</v>
      </c>
      <c r="E11" s="19">
        <v>837</v>
      </c>
      <c r="F11" s="20">
        <v>88</v>
      </c>
      <c r="G11" s="21">
        <f t="shared" si="5"/>
        <v>130</v>
      </c>
      <c r="H11" s="19">
        <v>700</v>
      </c>
      <c r="I11" s="21">
        <f>IF(G11&gt;=0,O11*(100+Instruccions!B33)/100,(O11*2/3)*(100+Instruccions!B33)/100)</f>
        <v>37.733333333333334</v>
      </c>
      <c r="J11" s="21">
        <f t="shared" si="1"/>
        <v>173.85841269841274</v>
      </c>
      <c r="K11" s="19"/>
      <c r="L11" s="22" t="s">
        <v>74</v>
      </c>
      <c r="M11" s="42">
        <f>(ABS(G11)/Instruccions!B31*60)</f>
        <v>22.285714285714285</v>
      </c>
      <c r="N11" s="43">
        <f>(H11/Instruccions!B32*60)</f>
        <v>9.333333333333334</v>
      </c>
      <c r="O11" s="43">
        <f t="shared" si="2"/>
        <v>26.952380952380953</v>
      </c>
      <c r="P11" s="44">
        <f t="shared" si="3"/>
        <v>5200</v>
      </c>
    </row>
    <row r="12" spans="2:16" ht="19.5" customHeight="1">
      <c r="B12" s="16" t="str">
        <f t="shared" si="4"/>
        <v>el Montner</v>
      </c>
      <c r="C12" s="17">
        <f t="shared" si="0"/>
        <v>837</v>
      </c>
      <c r="D12" s="18" t="s">
        <v>60</v>
      </c>
      <c r="E12" s="19">
        <v>687</v>
      </c>
      <c r="F12" s="20">
        <v>84</v>
      </c>
      <c r="G12" s="21">
        <f t="shared" si="5"/>
        <v>-150</v>
      </c>
      <c r="H12" s="19">
        <v>800</v>
      </c>
      <c r="I12" s="21">
        <f>IF(G12&gt;=0,O12*(100+Instruccions!B33)/100,(O12*2/3)*(100+Instruccions!B33)/100)</f>
        <v>28.977777777777774</v>
      </c>
      <c r="J12" s="21">
        <f t="shared" si="1"/>
        <v>202.8361904761905</v>
      </c>
      <c r="K12" s="19"/>
      <c r="L12" s="22" t="s">
        <v>67</v>
      </c>
      <c r="M12" s="42">
        <f>(ABS(G12)/Instruccions!B31*60)</f>
        <v>25.71428571428571</v>
      </c>
      <c r="N12" s="43">
        <f>(H12/Instruccions!B32*60)</f>
        <v>10.666666666666668</v>
      </c>
      <c r="O12" s="43">
        <f t="shared" si="2"/>
        <v>31.047619047619044</v>
      </c>
      <c r="P12" s="44">
        <f t="shared" si="3"/>
        <v>6000</v>
      </c>
    </row>
    <row r="13" spans="2:16" ht="19.5" customHeight="1">
      <c r="B13" s="16" t="str">
        <f t="shared" si="4"/>
        <v>collet de Portelles</v>
      </c>
      <c r="C13" s="17">
        <f t="shared" si="0"/>
        <v>687</v>
      </c>
      <c r="D13" s="18" t="s">
        <v>61</v>
      </c>
      <c r="E13" s="19">
        <v>877</v>
      </c>
      <c r="F13" s="20">
        <v>92</v>
      </c>
      <c r="G13" s="21">
        <f t="shared" si="5"/>
        <v>190</v>
      </c>
      <c r="H13" s="19">
        <v>750</v>
      </c>
      <c r="I13" s="21">
        <f>IF(G13&gt;=0,O13*(100+Instruccions!B33)/100,(O13*2/3)*(100+Instruccions!B33)/100)</f>
        <v>52.6</v>
      </c>
      <c r="J13" s="21">
        <f t="shared" si="1"/>
        <v>255.4361904761905</v>
      </c>
      <c r="K13" s="19"/>
      <c r="L13" s="22" t="s">
        <v>68</v>
      </c>
      <c r="M13" s="42">
        <f>(ABS(G13)/Instruccions!B31*60)</f>
        <v>32.57142857142857</v>
      </c>
      <c r="N13" s="43">
        <f>(H13/Instruccions!B32*60)</f>
        <v>10</v>
      </c>
      <c r="O13" s="43">
        <f t="shared" si="2"/>
        <v>37.57142857142857</v>
      </c>
      <c r="P13" s="44">
        <f t="shared" si="3"/>
        <v>6750</v>
      </c>
    </row>
    <row r="14" spans="2:16" ht="19.5" customHeight="1">
      <c r="B14" s="16" t="str">
        <f t="shared" si="4"/>
        <v>Golany</v>
      </c>
      <c r="C14" s="17">
        <f t="shared" si="0"/>
        <v>877</v>
      </c>
      <c r="D14" s="18" t="s">
        <v>62</v>
      </c>
      <c r="E14" s="19">
        <v>819</v>
      </c>
      <c r="F14" s="20">
        <v>156</v>
      </c>
      <c r="G14" s="21">
        <f t="shared" si="5"/>
        <v>-58</v>
      </c>
      <c r="H14" s="19">
        <v>850</v>
      </c>
      <c r="I14" s="21">
        <f>IF(G14&gt;=0,O14*(100+Instruccions!B33)/100,(O14*2/3)*(100+Instruccions!B33)/100)</f>
        <v>15.217777777777776</v>
      </c>
      <c r="J14" s="21">
        <f t="shared" si="1"/>
        <v>270.6539682539683</v>
      </c>
      <c r="K14" s="19"/>
      <c r="L14" s="22" t="s">
        <v>69</v>
      </c>
      <c r="M14" s="42">
        <f>(ABS(G14)/Instruccions!B31*60)</f>
        <v>9.942857142857143</v>
      </c>
      <c r="N14" s="43">
        <f>(H14/Instruccions!B32*60)</f>
        <v>11.333333333333332</v>
      </c>
      <c r="O14" s="43">
        <f t="shared" si="2"/>
        <v>16.304761904761904</v>
      </c>
      <c r="P14" s="44">
        <f t="shared" si="3"/>
        <v>7600</v>
      </c>
    </row>
    <row r="15" spans="2:16" ht="19.5" customHeight="1">
      <c r="B15" s="16" t="str">
        <f t="shared" si="4"/>
        <v>coll Saposa</v>
      </c>
      <c r="C15" s="17">
        <f t="shared" si="0"/>
        <v>819</v>
      </c>
      <c r="D15" s="18" t="s">
        <v>63</v>
      </c>
      <c r="E15" s="19">
        <v>808</v>
      </c>
      <c r="F15" s="20">
        <v>30</v>
      </c>
      <c r="G15" s="21">
        <f t="shared" si="5"/>
        <v>-11</v>
      </c>
      <c r="H15" s="19">
        <v>900</v>
      </c>
      <c r="I15" s="21">
        <f>IF(G15&gt;=0,O15*(100+Instruccions!B33)/100,(O15*2/3)*(100+Instruccions!B33)/100)</f>
        <v>12.08</v>
      </c>
      <c r="J15" s="21">
        <f t="shared" si="1"/>
        <v>282.73396825396827</v>
      </c>
      <c r="K15" s="19"/>
      <c r="L15" s="22" t="s">
        <v>75</v>
      </c>
      <c r="M15" s="42">
        <f>(ABS(G15)/Instruccions!B31*60)</f>
        <v>1.885714285714286</v>
      </c>
      <c r="N15" s="43">
        <f>(H15/Instruccions!B32*60)</f>
        <v>12</v>
      </c>
      <c r="O15" s="43">
        <f t="shared" si="2"/>
        <v>12.942857142857143</v>
      </c>
      <c r="P15" s="44">
        <f t="shared" si="3"/>
        <v>8500</v>
      </c>
    </row>
    <row r="16" spans="2:16" ht="19.5" customHeight="1">
      <c r="B16" s="16" t="str">
        <f t="shared" si="4"/>
        <v>coll dels Tres Senyors</v>
      </c>
      <c r="C16" s="17">
        <f t="shared" si="0"/>
        <v>808</v>
      </c>
      <c r="D16" s="18" t="s">
        <v>64</v>
      </c>
      <c r="E16" s="19">
        <v>720</v>
      </c>
      <c r="F16" s="20">
        <v>46</v>
      </c>
      <c r="G16" s="21">
        <f t="shared" si="5"/>
        <v>-88</v>
      </c>
      <c r="H16" s="19">
        <v>700</v>
      </c>
      <c r="I16" s="21">
        <f>IF(G16&gt;=0,O16*(100+Instruccions!B33)/100,(O16*2/3)*(100+Instruccions!B33)/100)</f>
        <v>18.435555555555556</v>
      </c>
      <c r="J16" s="21">
        <f t="shared" si="1"/>
        <v>301.1695238095238</v>
      </c>
      <c r="K16" s="19"/>
      <c r="L16" s="22" t="s">
        <v>76</v>
      </c>
      <c r="M16" s="42">
        <f>(ABS(G16)/Instruccions!B31*60)</f>
        <v>15.085714285714287</v>
      </c>
      <c r="N16" s="43">
        <f>(H16/Instruccions!B32*60)</f>
        <v>9.333333333333334</v>
      </c>
      <c r="O16" s="43">
        <f t="shared" si="2"/>
        <v>19.752380952380953</v>
      </c>
      <c r="P16" s="44">
        <f t="shared" si="3"/>
        <v>9200</v>
      </c>
    </row>
    <row r="17" spans="2:16" ht="19.5" customHeight="1">
      <c r="B17" s="16" t="str">
        <f t="shared" si="4"/>
        <v>camí mercader (prop Sant Nicolau)</v>
      </c>
      <c r="C17" s="17">
        <f>IF(B17="",0,E16)</f>
        <v>720</v>
      </c>
      <c r="D17" s="20" t="s">
        <v>70</v>
      </c>
      <c r="E17" s="19">
        <v>683</v>
      </c>
      <c r="F17" s="20">
        <v>268</v>
      </c>
      <c r="G17" s="21">
        <f t="shared" si="5"/>
        <v>-37</v>
      </c>
      <c r="H17" s="19">
        <v>2000</v>
      </c>
      <c r="I17" s="21">
        <f>IF(G17&gt;=0,O17*(100+Instruccions!B33)/100,(O17*2/3)*(100+Instruccions!B33)/100)</f>
        <v>27.848888888888883</v>
      </c>
      <c r="J17" s="21">
        <f t="shared" si="1"/>
        <v>329.0184126984127</v>
      </c>
      <c r="K17" s="19"/>
      <c r="L17" s="22" t="s">
        <v>77</v>
      </c>
      <c r="M17" s="42">
        <f>(ABS(G17)/Instruccions!B31*60)</f>
        <v>6.342857142857143</v>
      </c>
      <c r="N17" s="43">
        <f>(H17/Instruccions!B32*60)</f>
        <v>26.666666666666664</v>
      </c>
      <c r="O17" s="43">
        <f t="shared" si="2"/>
        <v>29.838095238095235</v>
      </c>
      <c r="P17" s="44">
        <f t="shared" si="3"/>
        <v>11200</v>
      </c>
    </row>
    <row r="18" spans="2:16" ht="19.5" customHeight="1">
      <c r="B18" s="16" t="str">
        <f t="shared" si="4"/>
        <v>El Serrat vermell</v>
      </c>
      <c r="C18" s="17">
        <f aca="true" t="shared" si="6" ref="C18:C26">IF(B18="",0,E17)</f>
        <v>683</v>
      </c>
      <c r="D18" s="20" t="s">
        <v>71</v>
      </c>
      <c r="E18" s="19">
        <v>400</v>
      </c>
      <c r="F18" s="20">
        <v>306</v>
      </c>
      <c r="G18" s="21">
        <f t="shared" si="5"/>
        <v>-283</v>
      </c>
      <c r="H18" s="19">
        <v>850</v>
      </c>
      <c r="I18" s="21">
        <f>IF(G18&gt;=0,O18*(100+Instruccions!B33)/100,(O18*2/3)*(100+Instruccions!B33)/100)</f>
        <v>50.568888888888885</v>
      </c>
      <c r="J18" s="21">
        <f t="shared" si="1"/>
        <v>379.58730158730157</v>
      </c>
      <c r="K18" s="19"/>
      <c r="L18" s="22" t="s">
        <v>78</v>
      </c>
      <c r="M18" s="42">
        <f>(ABS(G18)/Instruccions!B31*60)</f>
        <v>48.51428571428572</v>
      </c>
      <c r="N18" s="43">
        <f>(H18/Instruccions!B32*60)</f>
        <v>11.333333333333332</v>
      </c>
      <c r="O18" s="43">
        <f t="shared" si="2"/>
        <v>54.180952380952384</v>
      </c>
      <c r="P18" s="44">
        <f t="shared" si="3"/>
        <v>12050</v>
      </c>
    </row>
    <row r="19" spans="2:16" ht="19.5" customHeight="1">
      <c r="B19" s="16" t="str">
        <f t="shared" si="4"/>
        <v>font del corral</v>
      </c>
      <c r="C19" s="17">
        <f t="shared" si="6"/>
        <v>400</v>
      </c>
      <c r="D19" s="20" t="s">
        <v>65</v>
      </c>
      <c r="E19" s="19">
        <v>390</v>
      </c>
      <c r="F19" s="20">
        <v>28</v>
      </c>
      <c r="G19" s="21">
        <f t="shared" si="5"/>
        <v>-10</v>
      </c>
      <c r="H19" s="19">
        <v>1200</v>
      </c>
      <c r="I19" s="21">
        <f>IF(G19&gt;=0,O19*(100+Instruccions!B33)/100,(O19*2/3)*(100+Instruccions!B33)/100)</f>
        <v>15.733333333333334</v>
      </c>
      <c r="J19" s="21">
        <f t="shared" si="1"/>
        <v>395.3206349206349</v>
      </c>
      <c r="K19" s="19"/>
      <c r="L19" s="22" t="s">
        <v>79</v>
      </c>
      <c r="M19" s="42">
        <f>(ABS(G19)/Instruccions!B31*60)</f>
        <v>1.7142857142857142</v>
      </c>
      <c r="N19" s="43">
        <f>(H19/Instruccions!B32*60)</f>
        <v>16</v>
      </c>
      <c r="O19" s="43">
        <f t="shared" si="2"/>
        <v>16.857142857142858</v>
      </c>
      <c r="P19" s="44">
        <f t="shared" si="3"/>
        <v>13250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13250</v>
      </c>
      <c r="D28" s="33"/>
    </row>
    <row r="29" spans="2:4" ht="19.5" customHeight="1">
      <c r="B29" s="8" t="s">
        <v>17</v>
      </c>
      <c r="C29" s="6">
        <f>SUM(I7:I27)</f>
        <v>395.3206349206349</v>
      </c>
      <c r="D29" s="34">
        <f>C29/60</f>
        <v>6.588677248677248</v>
      </c>
    </row>
    <row r="30" spans="2:4" ht="19.5" customHeight="1">
      <c r="B30" s="8" t="s">
        <v>18</v>
      </c>
      <c r="C30" s="6">
        <f>SUMIF(G7:G27,"&gt;0",G7:G27)</f>
        <v>743</v>
      </c>
      <c r="D30" s="35"/>
    </row>
    <row r="31" spans="2:4" ht="17.25" customHeight="1" thickBot="1">
      <c r="B31" s="9" t="s">
        <v>19</v>
      </c>
      <c r="C31" s="7">
        <f>SUMIF(G7:G27,"&lt;0",G7:G27)</f>
        <v>-743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4500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2006-10-01T20:42:31Z</cp:lastPrinted>
  <dcterms:created xsi:type="dcterms:W3CDTF">2004-05-05T18:52:05Z</dcterms:created>
  <dcterms:modified xsi:type="dcterms:W3CDTF">2008-03-16T15:05:46Z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