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<sst xmlns="http://schemas.openxmlformats.org/spreadsheetml/2006/main" count="73" uniqueCount="71">
  <si>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</si>
  <si>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</si>
  <si>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</si>
  <si>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</si>
  <si>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</si>
  <si>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</si>
  <si>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</si>
  <si>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</si>
  <si>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</si>
  <si>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</si>
  <si>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</si>
  <si>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</si>
  <si>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</si>
  <si>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</si>
  <si>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</si>
  <si>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</si>
  <si>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</si>
  <si>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</si>
  <si>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</si>
  <si>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</si>
  <si>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</si>
  <si>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</si>
  <si>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</si>
  <si>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</si>
  <si>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</si>
  <si>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</si>
  <si>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</si>
  <si>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</si>
  <si>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</si>
  <si>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</si>
  <si>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</si>
  <si>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</si>
  <si>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</si>
  <si>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</si>
  <si>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</si>
  <si>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</si>
  <si>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</si>
  <si>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</si>
  <si>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</si>
  <si>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</si>
  <si>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</si>
  <si>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</si>
  <si>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</si>
  <si>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</si>
  <si>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</si>
  <si>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</si>
  <si>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</si>
  <si>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</si>
  <si>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</si>
  <si>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</si>
  <si>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</si>
  <si>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</si>
  <si>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</si>
  <si>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Collet de les  Barraques</t>
  </si>
  <si>
    <t>no seguim GR-11 Queralbs - Pla de les Barraques</t>
  </si>
  <si>
    <t>prop Roc Blanc</t>
  </si>
  <si>
    <t>prop Puig de Dòrria</t>
  </si>
  <si>
    <t>pas dels lladres</t>
  </si>
  <si>
    <t>passat Tossa Pas Lladres</t>
  </si>
  <si>
    <t>coll de les clotxes</t>
  </si>
  <si>
    <t>clot de la pastera</t>
  </si>
  <si>
    <t>no carenemanem per l'esquerre</t>
  </si>
  <si>
    <t>puigmal</t>
  </si>
  <si>
    <t>font alta de puigmal</t>
  </si>
  <si>
    <t>coma embut</t>
  </si>
  <si>
    <t>forat del'embut</t>
  </si>
  <si>
    <t>seguim pla de les ortigues</t>
  </si>
  <si>
    <t>Núria(Final)</t>
  </si>
  <si>
    <t>COLLET de les  BARRAQUES - NURIA</t>
  </si>
  <si>
    <t>No fem cim el fem per l'esquerre</t>
  </si>
  <si>
    <t>pel costat esquerre de la tanca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</si>
</sst>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9" xfId="0" applyNumberFormat="1" applyFont="1" applyFill="1" applyBorder="1" applyAlignment="1" applyProtection="1">
      <alignment horizontal="right"/>
      <protection/>
    </xf>
    <xf numFmtId="0" fontId="7" fillId="0" borderId="9" xfId="0" applyFont="1" applyBorder="1" applyAlignment="1" applyProtection="1">
      <alignment horizontal="left" indent="1"/>
      <protection locked="0"/>
    </xf>
    <xf numFmtId="3" fontId="7" fillId="0" borderId="9" xfId="0" applyNumberFormat="1" applyFont="1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3" fontId="7" fillId="3" borderId="9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 locked="0"/>
    </xf>
    <xf numFmtId="0" fontId="7" fillId="3" borderId="11" xfId="0" applyNumberFormat="1" applyFont="1" applyFill="1" applyBorder="1" applyAlignment="1" applyProtection="1">
      <alignment horizontal="left"/>
      <protection/>
    </xf>
    <xf numFmtId="3" fontId="7" fillId="3" borderId="12" xfId="0" applyNumberFormat="1" applyFont="1" applyFill="1" applyBorder="1" applyAlignment="1" applyProtection="1">
      <alignment horizontal="right"/>
      <protection/>
    </xf>
    <xf numFmtId="3" fontId="7" fillId="0" borderId="13" xfId="0" applyNumberFormat="1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3" fontId="7" fillId="3" borderId="13" xfId="0" applyNumberFormat="1" applyFont="1" applyFill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5" xfId="0" applyNumberFormat="1" applyFont="1" applyFill="1" applyBorder="1" applyAlignment="1" applyProtection="1">
      <alignment horizontal="right"/>
      <protection/>
    </xf>
    <xf numFmtId="0" fontId="0" fillId="3" borderId="15" xfId="0" applyFill="1" applyBorder="1" applyAlignment="1" applyProtection="1">
      <alignment/>
      <protection/>
    </xf>
    <xf numFmtId="0" fontId="0" fillId="3" borderId="16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17" xfId="0" applyNumberFormat="1" applyFont="1" applyBorder="1" applyAlignment="1" applyProtection="1">
      <alignment/>
      <protection/>
    </xf>
    <xf numFmtId="3" fontId="7" fillId="0" borderId="13" xfId="0" applyNumberFormat="1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3" fontId="7" fillId="0" borderId="11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9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9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"/>
          <c:w val="0.9515"/>
          <c:h val="0.850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1125</c:v>
                </c:pt>
                <c:pt idx="2">
                  <c:v>4125</c:v>
                </c:pt>
                <c:pt idx="3">
                  <c:v>4500</c:v>
                </c:pt>
                <c:pt idx="4">
                  <c:v>5750</c:v>
                </c:pt>
                <c:pt idx="5">
                  <c:v>6875</c:v>
                </c:pt>
                <c:pt idx="6">
                  <c:v>7125</c:v>
                </c:pt>
                <c:pt idx="7">
                  <c:v>8375</c:v>
                </c:pt>
                <c:pt idx="8">
                  <c:v>9500</c:v>
                </c:pt>
                <c:pt idx="9">
                  <c:v>10750</c:v>
                </c:pt>
                <c:pt idx="10">
                  <c:v>12000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1895</c:v>
                </c:pt>
                <c:pt idx="1">
                  <c:v>2020</c:v>
                </c:pt>
                <c:pt idx="2">
                  <c:v>2542</c:v>
                </c:pt>
                <c:pt idx="3">
                  <c:v>2531</c:v>
                </c:pt>
                <c:pt idx="4">
                  <c:v>2620</c:v>
                </c:pt>
                <c:pt idx="5">
                  <c:v>2640</c:v>
                </c:pt>
                <c:pt idx="6">
                  <c:v>2649</c:v>
                </c:pt>
                <c:pt idx="7">
                  <c:v>2909</c:v>
                </c:pt>
                <c:pt idx="8">
                  <c:v>2500</c:v>
                </c:pt>
                <c:pt idx="9">
                  <c:v>2220</c:v>
                </c:pt>
                <c:pt idx="10">
                  <c:v>1960</c:v>
                </c:pt>
              </c:numCache>
            </c:numRef>
          </c:yVal>
          <c:smooth val="1"/>
        </c:ser>
        <c:axId val="48005153"/>
        <c:axId val="29393194"/>
      </c:scatterChart>
      <c:valAx>
        <c:axId val="48005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93194"/>
        <c:crosses val="autoZero"/>
        <c:crossBetween val="midCat"/>
        <c:dispUnits/>
      </c:valAx>
      <c:valAx>
        <c:axId val="29393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005153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123825</xdr:colOff>
      <xdr:row>26</xdr:row>
      <xdr:rowOff>104775</xdr:rowOff>
    </xdr:from>
    <xdr:to>
      <xdr:col>12</xdr:col>
      <xdr:colOff>19050</xdr:colOff>
      <xdr:row>31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61722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0" y="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75" zoomScaleNormal="75" workbookViewId="0" topLeftCell="A1">
      <selection activeCell="L8" sqref="L8"/>
    </sheetView>
  </sheetViews>
  <sheetFormatPr defaultColWidth="11.421875" defaultRowHeight="12.75" outlineLevelCol="1"/>
  <cols>
    <col min="1" max="1" width="2.140625" style="1" customWidth="1"/>
    <col min="2" max="2" width="23.57421875" style="1" customWidth="1"/>
    <col min="3" max="3" width="8.140625" style="1" customWidth="1"/>
    <col min="4" max="4" width="23.421875" style="1" customWidth="1"/>
    <col min="5" max="5" width="8.00390625" style="1" customWidth="1"/>
    <col min="6" max="6" width="7.28125" style="1" customWidth="1"/>
    <col min="7" max="7" width="10.28125" style="1" customWidth="1"/>
    <col min="8" max="8" width="8.28125" style="1" customWidth="1"/>
    <col min="9" max="9" width="6.28125" style="1" customWidth="1"/>
    <col min="10" max="10" width="6.57421875" style="1" customWidth="1"/>
    <col min="11" max="11" width="6.140625" style="1" customWidth="1"/>
    <col min="12" max="12" width="30.71093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9.5" customHeight="1">
      <c r="B1" s="56" t="s">
        <v>11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ht="15" customHeight="1">
      <c r="C2" s="2"/>
    </row>
    <row r="3" spans="2:11" ht="15" customHeight="1">
      <c r="B3" s="28" t="s">
        <v>0</v>
      </c>
      <c r="C3" s="57" t="s">
        <v>68</v>
      </c>
      <c r="D3" s="58"/>
      <c r="E3" s="58"/>
      <c r="F3" s="58"/>
      <c r="G3" s="58"/>
      <c r="H3" s="58"/>
      <c r="I3" s="58"/>
      <c r="J3" s="58"/>
      <c r="K3" s="59"/>
    </row>
    <row r="4" spans="2:11" ht="15" customHeight="1" thickBot="1">
      <c r="B4" s="29"/>
      <c r="C4" s="40"/>
      <c r="G4" s="40"/>
      <c r="H4" s="40"/>
      <c r="I4" s="40"/>
      <c r="J4" s="40"/>
      <c r="K4" s="40"/>
    </row>
    <row r="5" spans="2:16" ht="19.5" customHeight="1" thickTop="1">
      <c r="B5" s="3" t="s">
        <v>1</v>
      </c>
      <c r="C5" s="4" t="s">
        <v>2</v>
      </c>
      <c r="D5" s="4" t="s">
        <v>3</v>
      </c>
      <c r="E5" s="36" t="s">
        <v>2</v>
      </c>
      <c r="F5" s="36" t="s">
        <v>4</v>
      </c>
      <c r="G5" s="36" t="s">
        <v>5</v>
      </c>
      <c r="H5" s="36" t="s">
        <v>6</v>
      </c>
      <c r="I5" s="36" t="s">
        <v>49</v>
      </c>
      <c r="J5" s="36" t="s">
        <v>48</v>
      </c>
      <c r="K5" s="36" t="s">
        <v>52</v>
      </c>
      <c r="L5" s="5" t="s">
        <v>7</v>
      </c>
      <c r="M5" s="37" t="s">
        <v>20</v>
      </c>
      <c r="N5" s="38" t="s">
        <v>21</v>
      </c>
      <c r="O5" s="38" t="s">
        <v>22</v>
      </c>
      <c r="P5" s="39" t="s">
        <v>6</v>
      </c>
    </row>
    <row r="6" spans="2:16" ht="3.75" customHeight="1">
      <c r="B6" s="55"/>
      <c r="C6" s="55"/>
      <c r="D6" s="55" t="str">
        <f>B7</f>
        <v>Collet de les  Barraques</v>
      </c>
      <c r="E6" s="55">
        <f>C7</f>
        <v>1895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>
        <v>0</v>
      </c>
    </row>
    <row r="7" spans="2:16" ht="19.5" customHeight="1">
      <c r="B7" s="10" t="s">
        <v>53</v>
      </c>
      <c r="C7" s="18">
        <v>1895</v>
      </c>
      <c r="D7" s="11" t="s">
        <v>55</v>
      </c>
      <c r="E7" s="12">
        <v>2020</v>
      </c>
      <c r="F7" s="13">
        <v>308</v>
      </c>
      <c r="G7" s="14">
        <f>E7-C7</f>
        <v>125</v>
      </c>
      <c r="H7" s="12">
        <v>1125</v>
      </c>
      <c r="I7" s="14">
        <f>IF(G7&gt;=0,O7*(100+Instruccions!B33)/100,(O7*2/3)*(100+Instruccions!B33)/100)</f>
        <v>30.44166666666667</v>
      </c>
      <c r="J7" s="14">
        <f>I7</f>
        <v>30.44166666666667</v>
      </c>
      <c r="K7" s="18">
        <v>15</v>
      </c>
      <c r="L7" s="18" t="s">
        <v>54</v>
      </c>
      <c r="M7" s="41">
        <f>(ABS(G7)/Instruccions!B31*60)</f>
        <v>16.666666666666668</v>
      </c>
      <c r="N7" s="42">
        <f>(H7/Instruccions!B32*60)</f>
        <v>13.5</v>
      </c>
      <c r="O7" s="42">
        <f>IF(M7&gt;=N7,M7+(N7/2),N7+(M7/2))</f>
        <v>23.416666666666668</v>
      </c>
      <c r="P7" s="43">
        <f>H7</f>
        <v>1125</v>
      </c>
    </row>
    <row r="8" spans="2:16" ht="19.5" customHeight="1">
      <c r="B8" s="15" t="str">
        <f>IF(D7="","",IF(ISERROR(SEARCH("Final",D7))=TRUE,D7,""))</f>
        <v>prop Roc Blanc</v>
      </c>
      <c r="C8" s="16">
        <f aca="true" t="shared" si="0" ref="C8:C16">IF(B8="",0,E7)</f>
        <v>2020</v>
      </c>
      <c r="D8" s="11" t="s">
        <v>56</v>
      </c>
      <c r="E8" s="12">
        <v>2542</v>
      </c>
      <c r="F8" s="13">
        <v>314</v>
      </c>
      <c r="G8" s="14">
        <f>E8-C8</f>
        <v>522</v>
      </c>
      <c r="H8" s="12">
        <v>3000</v>
      </c>
      <c r="I8" s="14">
        <f>IF(G8&gt;=0,O8*(100+Instruccions!B34)/100,(O8*2/3)*(100+Instruccions!B34)/100)</f>
        <v>87.6</v>
      </c>
      <c r="J8" s="20">
        <f aca="true" t="shared" si="1" ref="J8:J26">IF(I8=0,0,I8+J7)</f>
        <v>118.04166666666666</v>
      </c>
      <c r="K8" s="18"/>
      <c r="L8" s="18" t="s">
        <v>70</v>
      </c>
      <c r="M8" s="41">
        <f>(ABS(G8)/Instruccions!B31*60)</f>
        <v>69.6</v>
      </c>
      <c r="N8" s="42">
        <f>(H8/Instruccions!B32*60)</f>
        <v>36</v>
      </c>
      <c r="O8" s="42">
        <f aca="true" t="shared" si="2" ref="O8:O26">IF(M8&gt;=N8,M8+(N8/2),N8+(M8/2))</f>
        <v>87.6</v>
      </c>
      <c r="P8" s="43">
        <f aca="true" t="shared" si="3" ref="P8:P26">IF(H8=0,NA(),H8+P7)</f>
        <v>4125</v>
      </c>
    </row>
    <row r="9" spans="2:16" ht="19.5" customHeight="1">
      <c r="B9" s="15" t="str">
        <f aca="true" t="shared" si="4" ref="B9:B26">IF(D8="","",IF(ISERROR(SEARCH("Final",D8))=TRUE,D8,""))</f>
        <v>prop Puig de Dòrria</v>
      </c>
      <c r="C9" s="16">
        <f t="shared" si="0"/>
        <v>2542</v>
      </c>
      <c r="D9" s="17" t="s">
        <v>57</v>
      </c>
      <c r="E9" s="18">
        <v>2531</v>
      </c>
      <c r="F9" s="19">
        <v>6</v>
      </c>
      <c r="G9" s="20">
        <f aca="true" t="shared" si="5" ref="G9:G26">E9-C9</f>
        <v>-11</v>
      </c>
      <c r="H9" s="18">
        <v>375</v>
      </c>
      <c r="I9" s="20">
        <f>IF(G9&gt;=0,O9*(100+Instruccions!B33)/100,(O9*2/3)*(100+Instruccions!B33)/100)</f>
        <v>4.535555555555556</v>
      </c>
      <c r="J9" s="20">
        <f t="shared" si="1"/>
        <v>122.57722222222222</v>
      </c>
      <c r="K9" s="18">
        <v>90</v>
      </c>
      <c r="L9" s="18"/>
      <c r="M9" s="41">
        <f>(ABS(G9)/Instruccions!B31*60)</f>
        <v>1.4666666666666668</v>
      </c>
      <c r="N9" s="42">
        <f>(H9/Instruccions!B32*60)</f>
        <v>4.5</v>
      </c>
      <c r="O9" s="42">
        <f t="shared" si="2"/>
        <v>5.233333333333333</v>
      </c>
      <c r="P9" s="43">
        <f t="shared" si="3"/>
        <v>4500</v>
      </c>
    </row>
    <row r="10" spans="2:16" ht="19.5" customHeight="1">
      <c r="B10" s="15" t="str">
        <f t="shared" si="4"/>
        <v>pas dels lladres</v>
      </c>
      <c r="C10" s="16">
        <f t="shared" si="0"/>
        <v>2531</v>
      </c>
      <c r="D10" s="17" t="s">
        <v>58</v>
      </c>
      <c r="E10" s="18">
        <v>2620</v>
      </c>
      <c r="F10" s="19">
        <v>23</v>
      </c>
      <c r="G10" s="20">
        <f t="shared" si="5"/>
        <v>89</v>
      </c>
      <c r="H10" s="18">
        <v>1250</v>
      </c>
      <c r="I10" s="20">
        <f>IF(G10&gt;=0,O10*(100+Instruccions!B33)/100,(O10*2/3)*(100+Instruccions!B33)/100)</f>
        <v>27.213333333333335</v>
      </c>
      <c r="J10" s="20">
        <f t="shared" si="1"/>
        <v>149.79055555555556</v>
      </c>
      <c r="K10" s="18"/>
      <c r="L10" s="18" t="s">
        <v>69</v>
      </c>
      <c r="M10" s="41">
        <f>(ABS(G10)/Instruccions!B31*60)</f>
        <v>11.866666666666667</v>
      </c>
      <c r="N10" s="42">
        <f>(H10/Instruccions!B32*60)</f>
        <v>15</v>
      </c>
      <c r="O10" s="42">
        <f t="shared" si="2"/>
        <v>20.933333333333334</v>
      </c>
      <c r="P10" s="43">
        <f t="shared" si="3"/>
        <v>5750</v>
      </c>
    </row>
    <row r="11" spans="2:16" ht="19.5" customHeight="1">
      <c r="B11" s="15" t="str">
        <f t="shared" si="4"/>
        <v>passat Tossa Pas Lladres</v>
      </c>
      <c r="C11" s="16">
        <f t="shared" si="0"/>
        <v>2620</v>
      </c>
      <c r="D11" s="17" t="s">
        <v>59</v>
      </c>
      <c r="E11" s="18">
        <v>2640</v>
      </c>
      <c r="F11" s="19">
        <v>64</v>
      </c>
      <c r="G11" s="20">
        <f t="shared" si="5"/>
        <v>20</v>
      </c>
      <c r="H11" s="18">
        <v>1125</v>
      </c>
      <c r="I11" s="20">
        <f>IF(G11&gt;=0,O11*(100+Instruccions!B33)/100,(O11*2/3)*(100+Instruccions!B33)/100)</f>
        <v>19.283333333333335</v>
      </c>
      <c r="J11" s="20">
        <f t="shared" si="1"/>
        <v>169.0738888888889</v>
      </c>
      <c r="K11" s="18"/>
      <c r="L11" s="18"/>
      <c r="M11" s="41">
        <f>(ABS(G11)/Instruccions!B31*60)</f>
        <v>2.666666666666667</v>
      </c>
      <c r="N11" s="42">
        <f>(H11/Instruccions!B32*60)</f>
        <v>13.5</v>
      </c>
      <c r="O11" s="42">
        <f t="shared" si="2"/>
        <v>14.833333333333334</v>
      </c>
      <c r="P11" s="43">
        <f t="shared" si="3"/>
        <v>6875</v>
      </c>
    </row>
    <row r="12" spans="2:16" ht="19.5" customHeight="1">
      <c r="B12" s="15" t="str">
        <f t="shared" si="4"/>
        <v>coll de les clotxes</v>
      </c>
      <c r="C12" s="16">
        <f t="shared" si="0"/>
        <v>2640</v>
      </c>
      <c r="D12" s="17" t="s">
        <v>60</v>
      </c>
      <c r="E12" s="18">
        <v>2649</v>
      </c>
      <c r="F12" s="19">
        <v>64</v>
      </c>
      <c r="G12" s="20">
        <f t="shared" si="5"/>
        <v>9</v>
      </c>
      <c r="H12" s="18">
        <v>250</v>
      </c>
      <c r="I12" s="20">
        <f>IF(G12&gt;=0,O12*(100+Instruccions!B33)/100,(O12*2/3)*(100+Instruccions!B33)/100)</f>
        <v>4.68</v>
      </c>
      <c r="J12" s="20">
        <f t="shared" si="1"/>
        <v>173.7538888888889</v>
      </c>
      <c r="K12" s="18"/>
      <c r="L12" s="18" t="s">
        <v>61</v>
      </c>
      <c r="M12" s="41">
        <f>(ABS(G12)/Instruccions!B31*60)</f>
        <v>1.2</v>
      </c>
      <c r="N12" s="42">
        <f>(H12/Instruccions!B32*60)</f>
        <v>3</v>
      </c>
      <c r="O12" s="42">
        <f t="shared" si="2"/>
        <v>3.6</v>
      </c>
      <c r="P12" s="43">
        <f t="shared" si="3"/>
        <v>7125</v>
      </c>
    </row>
    <row r="13" spans="2:16" ht="19.5" customHeight="1">
      <c r="B13" s="15" t="str">
        <f t="shared" si="4"/>
        <v>clot de la pastera</v>
      </c>
      <c r="C13" s="16">
        <f t="shared" si="0"/>
        <v>2649</v>
      </c>
      <c r="D13" s="17" t="s">
        <v>62</v>
      </c>
      <c r="E13" s="18">
        <v>2909</v>
      </c>
      <c r="F13" s="19">
        <v>71</v>
      </c>
      <c r="G13" s="20">
        <f t="shared" si="5"/>
        <v>260</v>
      </c>
      <c r="H13" s="18">
        <v>1250</v>
      </c>
      <c r="I13" s="20">
        <f>IF(G13&gt;=0,O13*(100+Instruccions!B33)/100,(O13*2/3)*(100+Instruccions!B33)/100)</f>
        <v>54.81666666666666</v>
      </c>
      <c r="J13" s="20">
        <f t="shared" si="1"/>
        <v>228.57055555555556</v>
      </c>
      <c r="K13" s="18">
        <v>180</v>
      </c>
      <c r="L13" s="18"/>
      <c r="M13" s="41">
        <f>(ABS(G13)/Instruccions!B31*60)</f>
        <v>34.666666666666664</v>
      </c>
      <c r="N13" s="42">
        <f>(H13/Instruccions!B32*60)</f>
        <v>15</v>
      </c>
      <c r="O13" s="42">
        <f t="shared" si="2"/>
        <v>42.166666666666664</v>
      </c>
      <c r="P13" s="43">
        <f t="shared" si="3"/>
        <v>8375</v>
      </c>
    </row>
    <row r="14" spans="2:16" ht="19.5" customHeight="1">
      <c r="B14" s="15" t="str">
        <f t="shared" si="4"/>
        <v>puigmal</v>
      </c>
      <c r="C14" s="16">
        <f t="shared" si="0"/>
        <v>2909</v>
      </c>
      <c r="D14" s="17" t="s">
        <v>63</v>
      </c>
      <c r="E14" s="18">
        <v>2500</v>
      </c>
      <c r="F14" s="19">
        <v>42</v>
      </c>
      <c r="G14" s="20">
        <f t="shared" si="5"/>
        <v>-409</v>
      </c>
      <c r="H14" s="18">
        <v>1125</v>
      </c>
      <c r="I14" s="20">
        <f>IF(G14&gt;=0,O14*(100+Instruccions!B33)/100,(O14*2/3)*(100+Instruccions!B33)/100)</f>
        <v>53.112222222222215</v>
      </c>
      <c r="J14" s="20">
        <f t="shared" si="1"/>
        <v>281.6827777777778</v>
      </c>
      <c r="K14" s="18"/>
      <c r="L14" s="18" t="s">
        <v>64</v>
      </c>
      <c r="M14" s="41">
        <f>(ABS(G14)/Instruccions!B31*60)</f>
        <v>54.53333333333333</v>
      </c>
      <c r="N14" s="42">
        <f>(H14/Instruccions!B32*60)</f>
        <v>13.5</v>
      </c>
      <c r="O14" s="42">
        <f t="shared" si="2"/>
        <v>61.28333333333333</v>
      </c>
      <c r="P14" s="43">
        <f t="shared" si="3"/>
        <v>9500</v>
      </c>
    </row>
    <row r="15" spans="2:16" ht="19.5" customHeight="1">
      <c r="B15" s="15" t="str">
        <f t="shared" si="4"/>
        <v>font alta de puigmal</v>
      </c>
      <c r="C15" s="16">
        <f t="shared" si="0"/>
        <v>2500</v>
      </c>
      <c r="D15" s="17" t="s">
        <v>65</v>
      </c>
      <c r="E15" s="18">
        <v>2220</v>
      </c>
      <c r="F15" s="19">
        <v>54</v>
      </c>
      <c r="G15" s="20">
        <f t="shared" si="5"/>
        <v>-280</v>
      </c>
      <c r="H15" s="18">
        <v>1250</v>
      </c>
      <c r="I15" s="20">
        <f>IF(G15&gt;=0,O15*(100+Instruccions!B33)/100,(O15*2/3)*(100+Instruccions!B33)/100)</f>
        <v>38.855555555555554</v>
      </c>
      <c r="J15" s="20">
        <f t="shared" si="1"/>
        <v>320.53833333333336</v>
      </c>
      <c r="K15" s="18"/>
      <c r="L15" s="18" t="s">
        <v>66</v>
      </c>
      <c r="M15" s="41">
        <f>(ABS(G15)/Instruccions!B31*60)</f>
        <v>37.333333333333336</v>
      </c>
      <c r="N15" s="42">
        <f>(H15/Instruccions!B32*60)</f>
        <v>15</v>
      </c>
      <c r="O15" s="42">
        <f t="shared" si="2"/>
        <v>44.833333333333336</v>
      </c>
      <c r="P15" s="43">
        <f t="shared" si="3"/>
        <v>10750</v>
      </c>
    </row>
    <row r="16" spans="2:16" ht="19.5" customHeight="1">
      <c r="B16" s="15" t="str">
        <f t="shared" si="4"/>
        <v>forat del'embut</v>
      </c>
      <c r="C16" s="16">
        <f t="shared" si="0"/>
        <v>2220</v>
      </c>
      <c r="D16" s="17" t="s">
        <v>67</v>
      </c>
      <c r="E16" s="18">
        <v>1960</v>
      </c>
      <c r="F16" s="19">
        <v>94</v>
      </c>
      <c r="G16" s="20">
        <f t="shared" si="5"/>
        <v>-260</v>
      </c>
      <c r="H16" s="18">
        <v>1250</v>
      </c>
      <c r="I16" s="20">
        <f>IF(G16&gt;=0,O16*(100+Instruccions!B33)/100,(O16*2/3)*(100+Instruccions!B33)/100)</f>
        <v>36.544444444444444</v>
      </c>
      <c r="J16" s="20">
        <f t="shared" si="1"/>
        <v>357.0827777777778</v>
      </c>
      <c r="K16" s="18">
        <v>255</v>
      </c>
      <c r="L16" s="21"/>
      <c r="M16" s="41">
        <f>(ABS(G16)/Instruccions!B31*60)</f>
        <v>34.666666666666664</v>
      </c>
      <c r="N16" s="42">
        <f>(H16/Instruccions!B32*60)</f>
        <v>15</v>
      </c>
      <c r="O16" s="42">
        <f t="shared" si="2"/>
        <v>42.166666666666664</v>
      </c>
      <c r="P16" s="43">
        <f t="shared" si="3"/>
        <v>12000</v>
      </c>
    </row>
    <row r="17" spans="2:16" ht="19.5" customHeight="1">
      <c r="B17" s="15">
        <f t="shared" si="4"/>
      </c>
      <c r="C17" s="16">
        <f>IF(B17="",0,E16)</f>
        <v>0</v>
      </c>
      <c r="D17" s="19"/>
      <c r="E17" s="18"/>
      <c r="F17" s="19"/>
      <c r="G17" s="20">
        <f t="shared" si="5"/>
        <v>0</v>
      </c>
      <c r="H17" s="18"/>
      <c r="I17" s="20">
        <f>IF(G17&gt;=0,O17*(100+Instruccions!B33)/100,(O17*2/3)*(100+Instruccions!B33)/100)</f>
        <v>0</v>
      </c>
      <c r="J17" s="20">
        <f t="shared" si="1"/>
        <v>0</v>
      </c>
      <c r="K17" s="18"/>
      <c r="L17" s="21"/>
      <c r="M17" s="41">
        <f>(ABS(G17)/Instruccions!B31*60)</f>
        <v>0</v>
      </c>
      <c r="N17" s="42">
        <f>(H17/Instruccions!B32*60)</f>
        <v>0</v>
      </c>
      <c r="O17" s="42">
        <f t="shared" si="2"/>
        <v>0</v>
      </c>
      <c r="P17" s="43" t="e">
        <f t="shared" si="3"/>
        <v>#N/A</v>
      </c>
    </row>
    <row r="18" spans="2:16" ht="19.5" customHeight="1">
      <c r="B18" s="15">
        <f t="shared" si="4"/>
      </c>
      <c r="C18" s="16">
        <f aca="true" t="shared" si="6" ref="C18:C26">IF(B18="",0,E17)</f>
        <v>0</v>
      </c>
      <c r="D18" s="19"/>
      <c r="E18" s="18"/>
      <c r="F18" s="19"/>
      <c r="G18" s="20">
        <f t="shared" si="5"/>
        <v>0</v>
      </c>
      <c r="H18" s="18"/>
      <c r="I18" s="20">
        <f>IF(G18&gt;=0,O18*(100+Instruccions!B33)/100,(O18*2/3)*(100+Instruccions!B33)/100)</f>
        <v>0</v>
      </c>
      <c r="J18" s="20">
        <f t="shared" si="1"/>
        <v>0</v>
      </c>
      <c r="K18" s="18"/>
      <c r="L18" s="21"/>
      <c r="M18" s="41">
        <f>(ABS(G18)/Instruccions!B31*60)</f>
        <v>0</v>
      </c>
      <c r="N18" s="42">
        <f>(H18/Instruccions!B32*60)</f>
        <v>0</v>
      </c>
      <c r="O18" s="42">
        <f t="shared" si="2"/>
        <v>0</v>
      </c>
      <c r="P18" s="43" t="e">
        <f t="shared" si="3"/>
        <v>#N/A</v>
      </c>
    </row>
    <row r="19" spans="2:16" ht="19.5" customHeight="1">
      <c r="B19" s="15">
        <f t="shared" si="4"/>
      </c>
      <c r="C19" s="16">
        <f t="shared" si="6"/>
        <v>0</v>
      </c>
      <c r="D19" s="19"/>
      <c r="E19" s="18"/>
      <c r="F19" s="19"/>
      <c r="G19" s="20">
        <f t="shared" si="5"/>
        <v>0</v>
      </c>
      <c r="H19" s="18"/>
      <c r="I19" s="20">
        <f>IF(G19&gt;=0,O19*(100+Instruccions!B33)/100,(O19*2/3)*(100+Instruccions!B33)/100)</f>
        <v>0</v>
      </c>
      <c r="J19" s="20">
        <f t="shared" si="1"/>
        <v>0</v>
      </c>
      <c r="K19" s="18"/>
      <c r="L19" s="21"/>
      <c r="M19" s="41">
        <f>(ABS(G19)/Instruccions!B31*60)</f>
        <v>0</v>
      </c>
      <c r="N19" s="42">
        <f>(H19/Instruccions!B32*60)</f>
        <v>0</v>
      </c>
      <c r="O19" s="42">
        <f t="shared" si="2"/>
        <v>0</v>
      </c>
      <c r="P19" s="43" t="e">
        <f t="shared" si="3"/>
        <v>#N/A</v>
      </c>
    </row>
    <row r="20" spans="2:16" ht="19.5" customHeight="1">
      <c r="B20" s="15">
        <f t="shared" si="4"/>
      </c>
      <c r="C20" s="16">
        <f t="shared" si="6"/>
        <v>0</v>
      </c>
      <c r="D20" s="19"/>
      <c r="E20" s="18"/>
      <c r="F20" s="19"/>
      <c r="G20" s="20">
        <f t="shared" si="5"/>
        <v>0</v>
      </c>
      <c r="H20" s="18"/>
      <c r="I20" s="20">
        <f>IF(G20&gt;=0,O20*(100+Instruccions!B33)/100,(O20*2/3)*(100+Instruccions!B33)/100)</f>
        <v>0</v>
      </c>
      <c r="J20" s="20">
        <f t="shared" si="1"/>
        <v>0</v>
      </c>
      <c r="K20" s="18"/>
      <c r="L20" s="21"/>
      <c r="M20" s="41">
        <f>(ABS(G20)/Instruccions!B31*60)</f>
        <v>0</v>
      </c>
      <c r="N20" s="42">
        <f>(H20/Instruccions!B32*60)</f>
        <v>0</v>
      </c>
      <c r="O20" s="42">
        <f t="shared" si="2"/>
        <v>0</v>
      </c>
      <c r="P20" s="43" t="e">
        <f t="shared" si="3"/>
        <v>#N/A</v>
      </c>
    </row>
    <row r="21" spans="2:16" ht="19.5" customHeight="1">
      <c r="B21" s="15">
        <f t="shared" si="4"/>
      </c>
      <c r="C21" s="16">
        <f t="shared" si="6"/>
        <v>0</v>
      </c>
      <c r="D21" s="19"/>
      <c r="E21" s="18"/>
      <c r="F21" s="19"/>
      <c r="G21" s="20">
        <f t="shared" si="5"/>
        <v>0</v>
      </c>
      <c r="H21" s="18"/>
      <c r="I21" s="20">
        <f>IF(G21&gt;=0,O21*(100+Instruccions!B33)/100,(O21*2/3)*(100+Instruccions!B33)/100)</f>
        <v>0</v>
      </c>
      <c r="J21" s="20">
        <f t="shared" si="1"/>
        <v>0</v>
      </c>
      <c r="K21" s="18"/>
      <c r="L21" s="21"/>
      <c r="M21" s="41">
        <f>(ABS(G21)/Instruccions!B31*60)</f>
        <v>0</v>
      </c>
      <c r="N21" s="42">
        <f>(H21/Instruccions!B32*60)</f>
        <v>0</v>
      </c>
      <c r="O21" s="42">
        <f t="shared" si="2"/>
        <v>0</v>
      </c>
      <c r="P21" s="43" t="e">
        <f t="shared" si="3"/>
        <v>#N/A</v>
      </c>
    </row>
    <row r="22" spans="2:16" ht="19.5" customHeight="1">
      <c r="B22" s="15">
        <f t="shared" si="4"/>
      </c>
      <c r="C22" s="16">
        <f t="shared" si="6"/>
        <v>0</v>
      </c>
      <c r="D22" s="19"/>
      <c r="E22" s="18"/>
      <c r="F22" s="19"/>
      <c r="G22" s="20">
        <f t="shared" si="5"/>
        <v>0</v>
      </c>
      <c r="H22" s="18"/>
      <c r="I22" s="20">
        <f>IF(G22&gt;=0,O22*(100+Instruccions!B33)/100,(O22*2/3)*(100+Instruccions!B33)/100)</f>
        <v>0</v>
      </c>
      <c r="J22" s="20">
        <f t="shared" si="1"/>
        <v>0</v>
      </c>
      <c r="K22" s="18"/>
      <c r="L22" s="21"/>
      <c r="M22" s="41">
        <f>(ABS(G22)/Instruccions!B31*60)</f>
        <v>0</v>
      </c>
      <c r="N22" s="42">
        <f>(H22/Instruccions!B32*60)</f>
        <v>0</v>
      </c>
      <c r="O22" s="42">
        <f t="shared" si="2"/>
        <v>0</v>
      </c>
      <c r="P22" s="43" t="e">
        <f t="shared" si="3"/>
        <v>#N/A</v>
      </c>
    </row>
    <row r="23" spans="2:16" ht="19.5" customHeight="1">
      <c r="B23" s="15">
        <f t="shared" si="4"/>
      </c>
      <c r="C23" s="16">
        <f t="shared" si="6"/>
        <v>0</v>
      </c>
      <c r="D23" s="19"/>
      <c r="E23" s="18"/>
      <c r="F23" s="19"/>
      <c r="G23" s="20">
        <f t="shared" si="5"/>
        <v>0</v>
      </c>
      <c r="H23" s="18"/>
      <c r="I23" s="20">
        <f>IF(G23&gt;=0,O23*(100+Instruccions!B33)/100,(O23*2/3)*(100+Instruccions!B33)/100)</f>
        <v>0</v>
      </c>
      <c r="J23" s="20">
        <f t="shared" si="1"/>
        <v>0</v>
      </c>
      <c r="K23" s="18"/>
      <c r="L23" s="21"/>
      <c r="M23" s="41">
        <f>(ABS(G23)/Instruccions!B31*60)</f>
        <v>0</v>
      </c>
      <c r="N23" s="42">
        <f>(H23/Instruccions!B32*60)</f>
        <v>0</v>
      </c>
      <c r="O23" s="42">
        <f t="shared" si="2"/>
        <v>0</v>
      </c>
      <c r="P23" s="43" t="e">
        <f t="shared" si="3"/>
        <v>#N/A</v>
      </c>
    </row>
    <row r="24" spans="2:16" ht="19.5" customHeight="1">
      <c r="B24" s="15">
        <f t="shared" si="4"/>
      </c>
      <c r="C24" s="16">
        <f t="shared" si="6"/>
        <v>0</v>
      </c>
      <c r="D24" s="19"/>
      <c r="E24" s="18"/>
      <c r="F24" s="19"/>
      <c r="G24" s="20">
        <f t="shared" si="5"/>
        <v>0</v>
      </c>
      <c r="H24" s="18"/>
      <c r="I24" s="20">
        <f>IF(G24&gt;=0,O24*(100+Instruccions!B33)/100,(O24*2/3)*(100+Instruccions!B33)/100)</f>
        <v>0</v>
      </c>
      <c r="J24" s="20">
        <f t="shared" si="1"/>
        <v>0</v>
      </c>
      <c r="K24" s="18"/>
      <c r="L24" s="21"/>
      <c r="M24" s="41">
        <f>(ABS(G24)/Instruccions!B31*60)</f>
        <v>0</v>
      </c>
      <c r="N24" s="42">
        <f>(H24/Instruccions!B32*60)</f>
        <v>0</v>
      </c>
      <c r="O24" s="42">
        <f t="shared" si="2"/>
        <v>0</v>
      </c>
      <c r="P24" s="43" t="e">
        <f t="shared" si="3"/>
        <v>#N/A</v>
      </c>
    </row>
    <row r="25" spans="2:16" ht="19.5" customHeight="1">
      <c r="B25" s="15">
        <f t="shared" si="4"/>
      </c>
      <c r="C25" s="16">
        <f t="shared" si="6"/>
        <v>0</v>
      </c>
      <c r="D25" s="19"/>
      <c r="E25" s="18"/>
      <c r="F25" s="19"/>
      <c r="G25" s="20">
        <f t="shared" si="5"/>
        <v>0</v>
      </c>
      <c r="H25" s="18">
        <v>0</v>
      </c>
      <c r="I25" s="20">
        <f>IF(G25&gt;=0,O25*(100+Instruccions!B33)/100,(O25*2/3)*(100+Instruccions!B33)/100)</f>
        <v>0</v>
      </c>
      <c r="J25" s="20">
        <f t="shared" si="1"/>
        <v>0</v>
      </c>
      <c r="K25" s="18"/>
      <c r="L25" s="21"/>
      <c r="M25" s="41">
        <f>(ABS(G25)/Instruccions!B31*60)</f>
        <v>0</v>
      </c>
      <c r="N25" s="42">
        <f>(H25/Instruccions!B32*60)</f>
        <v>0</v>
      </c>
      <c r="O25" s="42">
        <f t="shared" si="2"/>
        <v>0</v>
      </c>
      <c r="P25" s="43" t="e">
        <f t="shared" si="3"/>
        <v>#N/A</v>
      </c>
    </row>
    <row r="26" spans="2:16" ht="19.5" customHeight="1" thickBot="1">
      <c r="B26" s="22">
        <f t="shared" si="4"/>
      </c>
      <c r="C26" s="23">
        <f t="shared" si="6"/>
        <v>0</v>
      </c>
      <c r="D26" s="24"/>
      <c r="E26" s="24"/>
      <c r="F26" s="25"/>
      <c r="G26" s="26">
        <f t="shared" si="5"/>
        <v>0</v>
      </c>
      <c r="H26" s="24">
        <v>0</v>
      </c>
      <c r="I26" s="26">
        <f>IF(G26&gt;=0,O26*(100+Instruccions!B33)/100,(O26*2/3)*(100+Instruccions!B33)/100)</f>
        <v>0</v>
      </c>
      <c r="J26" s="26">
        <f t="shared" si="1"/>
        <v>0</v>
      </c>
      <c r="K26" s="24"/>
      <c r="L26" s="27"/>
      <c r="M26" s="46">
        <f>(ABS(G26)/Instruccions!B31*60)</f>
        <v>0</v>
      </c>
      <c r="N26" s="44">
        <f>(H26/Instruccions!B32*60)</f>
        <v>0</v>
      </c>
      <c r="O26" s="44">
        <f t="shared" si="2"/>
        <v>0</v>
      </c>
      <c r="P26" s="45" t="e">
        <f t="shared" si="3"/>
        <v>#N/A</v>
      </c>
    </row>
    <row r="27" ht="11.25" customHeight="1" thickBot="1" thickTop="1"/>
    <row r="28" spans="2:4" ht="15" customHeight="1" thickTop="1">
      <c r="B28" s="30" t="s">
        <v>16</v>
      </c>
      <c r="C28" s="31">
        <f>SUM(H7:H27)</f>
        <v>12000</v>
      </c>
      <c r="D28" s="32"/>
    </row>
    <row r="29" spans="2:4" ht="19.5" customHeight="1">
      <c r="B29" s="8" t="s">
        <v>17</v>
      </c>
      <c r="C29" s="6">
        <f>SUM(I7:I27)</f>
        <v>357.0827777777778</v>
      </c>
      <c r="D29" s="33">
        <f>C29/60</f>
        <v>5.9513796296296295</v>
      </c>
    </row>
    <row r="30" spans="2:4" ht="19.5" customHeight="1">
      <c r="B30" s="8" t="s">
        <v>18</v>
      </c>
      <c r="C30" s="6">
        <f>SUMIF(G7:G27,"&gt;0",G7:G27)</f>
        <v>1025</v>
      </c>
      <c r="D30" s="34"/>
    </row>
    <row r="31" spans="2:4" ht="19.5" customHeight="1" thickBot="1">
      <c r="B31" s="9" t="s">
        <v>19</v>
      </c>
      <c r="C31" s="7">
        <f>SUMIF(G7:G27,"&lt;0",G7:G27)</f>
        <v>-960</v>
      </c>
      <c r="D31" s="35"/>
    </row>
    <row r="32" ht="19.5" customHeight="1" thickTop="1"/>
    <row r="33" ht="19.5" customHeight="1"/>
  </sheetData>
  <mergeCells count="2">
    <mergeCell ref="B1:L1"/>
    <mergeCell ref="C3:K3"/>
  </mergeCells>
  <conditionalFormatting sqref="D26 E7:E26 P7:P25 H7:H26 M7:O26 C7 K7:K26 L7:L15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13" right="0.55" top="0.12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7">
      <selection activeCell="B32" sqref="B32"/>
    </sheetView>
  </sheetViews>
  <sheetFormatPr defaultColWidth="11.421875" defaultRowHeight="12.75"/>
  <cols>
    <col min="1" max="1" width="32.28125" style="48" customWidth="1"/>
    <col min="2" max="2" width="22.7109375" style="48" customWidth="1"/>
    <col min="3" max="3" width="24.28125" style="48" customWidth="1"/>
    <col min="4" max="16384" width="11.421875" style="48" customWidth="1"/>
  </cols>
  <sheetData>
    <row r="3" ht="18.75">
      <c r="A3" s="47" t="s">
        <v>25</v>
      </c>
    </row>
    <row r="5" spans="1:7" ht="15">
      <c r="A5" s="48" t="s">
        <v>28</v>
      </c>
      <c r="G5" s="49"/>
    </row>
    <row r="7" ht="15">
      <c r="A7" s="49" t="s">
        <v>30</v>
      </c>
    </row>
    <row r="9" ht="13.5">
      <c r="A9" s="48" t="s">
        <v>26</v>
      </c>
    </row>
    <row r="10" spans="1:3" ht="13.5">
      <c r="A10" s="48" t="s">
        <v>27</v>
      </c>
      <c r="C10" s="50"/>
    </row>
    <row r="11" ht="13.5">
      <c r="A11" s="48" t="s">
        <v>29</v>
      </c>
    </row>
    <row r="12" ht="13.5">
      <c r="A12" s="48" t="s">
        <v>35</v>
      </c>
    </row>
    <row r="14" ht="13.5">
      <c r="A14" s="51" t="s">
        <v>38</v>
      </c>
    </row>
    <row r="16" ht="13.5">
      <c r="A16" s="48" t="s">
        <v>40</v>
      </c>
    </row>
    <row r="17" ht="13.5">
      <c r="A17" s="48" t="s">
        <v>43</v>
      </c>
    </row>
    <row r="18" ht="13.5">
      <c r="A18" s="48" t="s">
        <v>41</v>
      </c>
    </row>
    <row r="19" ht="13.5">
      <c r="A19" s="48" t="s">
        <v>42</v>
      </c>
    </row>
    <row r="20" ht="13.5">
      <c r="A20" s="48" t="s">
        <v>44</v>
      </c>
    </row>
    <row r="21" ht="13.5">
      <c r="A21" s="48" t="s">
        <v>45</v>
      </c>
    </row>
    <row r="22" ht="13.5">
      <c r="A22" s="48" t="s">
        <v>46</v>
      </c>
    </row>
    <row r="23" ht="13.5">
      <c r="A23" s="48" t="s">
        <v>50</v>
      </c>
    </row>
    <row r="24" ht="13.5">
      <c r="A24" s="48" t="s">
        <v>51</v>
      </c>
    </row>
    <row r="25" ht="13.5">
      <c r="A25" s="48" t="s">
        <v>47</v>
      </c>
    </row>
    <row r="27" ht="13.5">
      <c r="A27" s="48" t="s">
        <v>39</v>
      </c>
    </row>
    <row r="28" ht="13.5">
      <c r="A28" s="51" t="s">
        <v>36</v>
      </c>
    </row>
    <row r="29" ht="15">
      <c r="A29" s="49"/>
    </row>
    <row r="30" spans="1:3" ht="13.5">
      <c r="A30" s="52"/>
      <c r="B30" s="52" t="s">
        <v>23</v>
      </c>
      <c r="C30" s="52" t="s">
        <v>24</v>
      </c>
    </row>
    <row r="31" spans="1:3" ht="13.5">
      <c r="A31" s="52" t="s">
        <v>8</v>
      </c>
      <c r="B31" s="54">
        <v>450</v>
      </c>
      <c r="C31" s="50">
        <v>300</v>
      </c>
    </row>
    <row r="32" spans="1:3" ht="13.5">
      <c r="A32" s="52" t="s">
        <v>9</v>
      </c>
      <c r="B32" s="54">
        <v>5000</v>
      </c>
      <c r="C32" s="50">
        <v>4000</v>
      </c>
    </row>
    <row r="33" spans="1:3" ht="13.5">
      <c r="A33" s="52" t="s">
        <v>10</v>
      </c>
      <c r="B33" s="54">
        <v>30</v>
      </c>
      <c r="C33" s="50">
        <v>30</v>
      </c>
    </row>
    <row r="35" spans="1:6" ht="15">
      <c r="A35" s="51" t="s">
        <v>37</v>
      </c>
      <c r="F35" s="53"/>
    </row>
    <row r="36" spans="1:6" ht="15">
      <c r="A36" s="51"/>
      <c r="F36" s="53"/>
    </row>
    <row r="37" spans="1:6" ht="15">
      <c r="A37" s="48" t="s">
        <v>12</v>
      </c>
      <c r="F37" s="53"/>
    </row>
    <row r="38" spans="1:6" ht="15">
      <c r="A38" s="48" t="s">
        <v>13</v>
      </c>
      <c r="F38" s="53"/>
    </row>
    <row r="39" spans="1:6" ht="15">
      <c r="A39" s="48" t="s">
        <v>14</v>
      </c>
      <c r="F39" s="53"/>
    </row>
    <row r="40" ht="13.5">
      <c r="A40" s="48" t="s">
        <v>15</v>
      </c>
    </row>
    <row r="42" ht="15">
      <c r="A42" s="49" t="s">
        <v>31</v>
      </c>
    </row>
    <row r="44" ht="13.5">
      <c r="A44" s="48" t="s">
        <v>32</v>
      </c>
    </row>
    <row r="45" ht="13.5">
      <c r="A45" s="48" t="s">
        <v>33</v>
      </c>
    </row>
    <row r="46" ht="13.5">
      <c r="A46" s="48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2005-05-01T13:24:57Z</cp:lastPrinted>
  <dcterms:created xsi:type="dcterms:W3CDTF">2004-05-05T18:52:05Z</dcterms:created>
  <dcterms:modified xsi:type="dcterms:W3CDTF">2005-05-21T17:14:56Z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