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<sst xmlns="http://schemas.openxmlformats.org/spreadsheetml/2006/main" count="76" uniqueCount="74">
  <si>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</si>
  <si>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</si>
  <si>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</si>
  <si>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</si>
  <si>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</si>
  <si>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</si>
  <si>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</si>
  <si>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</si>
  <si>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</si>
  <si>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</si>
  <si>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</si>
  <si>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</si>
  <si>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</si>
  <si>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</si>
  <si>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</si>
  <si>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</si>
  <si>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</si>
  <si>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</si>
  <si>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</si>
  <si>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</si>
  <si>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</si>
  <si>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</si>
  <si>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</si>
  <si>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</si>
  <si>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</si>
  <si>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</si>
  <si>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</si>
  <si>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</si>
  <si>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</si>
  <si>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</si>
  <si>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</si>
  <si>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</si>
  <si>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</si>
  <si>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</si>
  <si>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</si>
  <si>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</si>
  <si>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</si>
  <si>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</si>
  <si>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</si>
  <si>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</si>
  <si>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</si>
  <si>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</si>
  <si>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</si>
  <si>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</si>
  <si>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</si>
  <si>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</si>
  <si>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</si>
  <si>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</si>
  <si>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</si>
  <si>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</si>
  <si>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</si>
  <si>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</si>
  <si>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</si>
  <si>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OIX - BEGET - OIX</t>
  </si>
  <si>
    <t>Oix</t>
  </si>
  <si>
    <t>pont trencat</t>
  </si>
  <si>
    <t>palanca del samsó</t>
  </si>
  <si>
    <t>plansesilles</t>
  </si>
  <si>
    <t>malafrau petita</t>
  </si>
  <si>
    <t>malafrau grossa</t>
  </si>
  <si>
    <t>passem per Escaladuix</t>
  </si>
  <si>
    <t>la farga</t>
  </si>
  <si>
    <t>pugem bac feixanes</t>
  </si>
  <si>
    <t>collada dels muls</t>
  </si>
  <si>
    <t>la portella</t>
  </si>
  <si>
    <t>Sant julià de bestrecà (castell)</t>
  </si>
  <si>
    <t>sant andreu de bestrecà</t>
  </si>
  <si>
    <t>el peirer</t>
  </si>
  <si>
    <t>Oix (final)</t>
  </si>
  <si>
    <t>seguim riera de beget dreta (el gornà la gorga més espectacular). Sota lleixa d'en Tirampets. Aquest camí és lent de fer i rellisca molt. Hi ha molts de desnivells i en alguns casos es baixa al riu. Hi ha una grimpada forta amb ferros clavats.</t>
  </si>
  <si>
    <t>Atravessem pel Ripoll, perquè ara no es pot arribar al prat dels tres roures per la pista. Del Ripool anem fins a Sant Miquel Ortmoier (esmorzar 20 minuts). Marques blanques i grogues ben senyalitzat fins a la Farga pràcticament</t>
  </si>
  <si>
    <t>a 3 Kms de Beget. Agafem GR-11</t>
  </si>
  <si>
    <t>passem les feixanes (casa amb banc a sota el roure) que és on deixem el GR-11. Dinar a la portella 30 minuts.</t>
  </si>
  <si>
    <t>Agafem una pista que baixa com un tiro a Oix.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</si>
</sst>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"/>
          <c:w val="0.9515"/>
          <c:h val="0.850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2625</c:v>
                </c:pt>
                <c:pt idx="2">
                  <c:v>3625</c:v>
                </c:pt>
                <c:pt idx="3">
                  <c:v>5125</c:v>
                </c:pt>
                <c:pt idx="4">
                  <c:v>6125</c:v>
                </c:pt>
                <c:pt idx="5">
                  <c:v>7250</c:v>
                </c:pt>
                <c:pt idx="6">
                  <c:v>8250</c:v>
                </c:pt>
                <c:pt idx="7">
                  <c:v>9500</c:v>
                </c:pt>
                <c:pt idx="8">
                  <c:v>11000</c:v>
                </c:pt>
                <c:pt idx="9">
                  <c:v>11625</c:v>
                </c:pt>
                <c:pt idx="10">
                  <c:v>12250</c:v>
                </c:pt>
                <c:pt idx="11">
                  <c:v>13500</c:v>
                </c:pt>
                <c:pt idx="12">
                  <c:v>15250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417</c:v>
                </c:pt>
                <c:pt idx="1">
                  <c:v>350</c:v>
                </c:pt>
                <c:pt idx="2">
                  <c:v>380</c:v>
                </c:pt>
                <c:pt idx="3">
                  <c:v>390</c:v>
                </c:pt>
                <c:pt idx="4">
                  <c:v>400</c:v>
                </c:pt>
                <c:pt idx="5">
                  <c:v>450</c:v>
                </c:pt>
                <c:pt idx="6">
                  <c:v>400</c:v>
                </c:pt>
                <c:pt idx="7">
                  <c:v>650</c:v>
                </c:pt>
                <c:pt idx="8">
                  <c:v>850</c:v>
                </c:pt>
                <c:pt idx="9">
                  <c:v>1058</c:v>
                </c:pt>
                <c:pt idx="10">
                  <c:v>850</c:v>
                </c:pt>
                <c:pt idx="11">
                  <c:v>690</c:v>
                </c:pt>
                <c:pt idx="12">
                  <c:v>417</c:v>
                </c:pt>
              </c:numCache>
            </c:numRef>
          </c:yVal>
          <c:smooth val="1"/>
        </c:ser>
        <c:axId val="25417038"/>
        <c:axId val="27426751"/>
      </c:scatterChart>
      <c:valAx>
        <c:axId val="2541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426751"/>
        <c:crosses val="autoZero"/>
        <c:crossBetween val="midCat"/>
        <c:dispUnits/>
      </c:valAx>
      <c:valAx>
        <c:axId val="27426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417038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26</xdr:row>
      <xdr:rowOff>9525</xdr:rowOff>
    </xdr:from>
    <xdr:to>
      <xdr:col>11</xdr:col>
      <xdr:colOff>1857375</xdr:colOff>
      <xdr:row>30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0198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0" y="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workbookViewId="0" topLeftCell="A1">
      <selection activeCell="L18" sqref="L18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0" width="6.57421875" style="1" customWidth="1"/>
    <col min="11" max="11" width="6.421875" style="1" customWidth="1"/>
    <col min="12" max="12" width="28.4218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8.75" customHeight="1">
      <c r="B1" s="57" t="s">
        <v>11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ht="15" customHeight="1">
      <c r="C2" s="2"/>
    </row>
    <row r="3" spans="2:11" ht="15" customHeight="1">
      <c r="B3" s="29" t="s">
        <v>0</v>
      </c>
      <c r="C3" s="58" t="s">
        <v>53</v>
      </c>
      <c r="D3" s="59"/>
      <c r="E3" s="59"/>
      <c r="F3" s="59"/>
      <c r="G3" s="59"/>
      <c r="H3" s="59"/>
      <c r="I3" s="59"/>
      <c r="J3" s="59"/>
      <c r="K3" s="60"/>
    </row>
    <row r="4" spans="2:11" ht="11.2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Oix</v>
      </c>
      <c r="E6" s="56">
        <f>C7</f>
        <v>417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54</v>
      </c>
      <c r="C7" s="19">
        <v>417</v>
      </c>
      <c r="D7" s="11" t="s">
        <v>55</v>
      </c>
      <c r="E7" s="12">
        <v>350</v>
      </c>
      <c r="F7" s="13"/>
      <c r="G7" s="14">
        <f>E7-C7</f>
        <v>-67</v>
      </c>
      <c r="H7" s="12">
        <v>2625</v>
      </c>
      <c r="I7" s="14">
        <f>IF(G7&gt;=0,O7*(100+Instruccions!B33)/100,(O7*2/3)*(100+Instruccions!B33)/100)</f>
        <v>34.76</v>
      </c>
      <c r="J7" s="14">
        <f>I7</f>
        <v>34.76</v>
      </c>
      <c r="K7" s="19">
        <v>45</v>
      </c>
      <c r="L7" s="15"/>
      <c r="M7" s="42">
        <f>(ABS(G7)/Instruccions!B31*60)</f>
        <v>11.485714285714286</v>
      </c>
      <c r="N7" s="43">
        <f>(H7/Instruccions!B32*60)</f>
        <v>31.5</v>
      </c>
      <c r="O7" s="43">
        <f>IF(M7&gt;=N7,M7+(N7/2),N7+(M7/2))</f>
        <v>37.24285714285714</v>
      </c>
      <c r="P7" s="44">
        <f>H7</f>
        <v>2625</v>
      </c>
    </row>
    <row r="8" spans="2:16" ht="19.5" customHeight="1">
      <c r="B8" s="16" t="str">
        <f>IF(D7="","",IF(ISERROR(SEARCH("Final",D7))=TRUE,D7,""))</f>
        <v>pont trencat</v>
      </c>
      <c r="C8" s="17">
        <f aca="true" t="shared" si="0" ref="C8:C16">IF(B8="",0,E7)</f>
        <v>350</v>
      </c>
      <c r="D8" s="11" t="s">
        <v>56</v>
      </c>
      <c r="E8" s="12">
        <v>380</v>
      </c>
      <c r="F8" s="13"/>
      <c r="G8" s="14">
        <f>E8-C8</f>
        <v>30</v>
      </c>
      <c r="H8" s="12">
        <v>1000</v>
      </c>
      <c r="I8" s="14">
        <f>IF(G8&gt;=0,O8*(100+Instruccions!B34)/100,(O8*2/3)*(100+Instruccions!B34)/100)</f>
        <v>14.571428571428571</v>
      </c>
      <c r="J8" s="21">
        <f aca="true" t="shared" si="1" ref="J8:J26">IF(I8=0,0,I8+J7)</f>
        <v>49.33142857142857</v>
      </c>
      <c r="K8" s="19">
        <v>60</v>
      </c>
      <c r="L8" s="15"/>
      <c r="M8" s="42">
        <f>(ABS(G8)/Instruccions!B31*60)</f>
        <v>5.142857142857143</v>
      </c>
      <c r="N8" s="43">
        <f>(H8/Instruccions!B32*60)</f>
        <v>12</v>
      </c>
      <c r="O8" s="43">
        <f aca="true" t="shared" si="2" ref="O8:O26">IF(M8&gt;=N8,M8+(N8/2),N8+(M8/2))</f>
        <v>14.571428571428571</v>
      </c>
      <c r="P8" s="44">
        <f aca="true" t="shared" si="3" ref="P8:P26">IF(H8=0,NA(),H8+P7)</f>
        <v>3625</v>
      </c>
    </row>
    <row r="9" spans="2:16" ht="19.5" customHeight="1">
      <c r="B9" s="16" t="str">
        <f aca="true" t="shared" si="4" ref="B9:B26">IF(D8="","",IF(ISERROR(SEARCH("Final",D8))=TRUE,D8,""))</f>
        <v>palanca del samsó</v>
      </c>
      <c r="C9" s="17">
        <f t="shared" si="0"/>
        <v>380</v>
      </c>
      <c r="D9" s="18" t="s">
        <v>57</v>
      </c>
      <c r="E9" s="19">
        <v>390</v>
      </c>
      <c r="F9" s="20"/>
      <c r="G9" s="21">
        <f aca="true" t="shared" si="5" ref="G9:G26">E9-C9</f>
        <v>10</v>
      </c>
      <c r="H9" s="19">
        <v>1500</v>
      </c>
      <c r="I9" s="21">
        <f>IF(G9&gt;=0,O9*(100+Instruccions!B33)/100,(O9*2/3)*(100+Instruccions!B33)/100)</f>
        <v>26.4</v>
      </c>
      <c r="J9" s="21">
        <f t="shared" si="1"/>
        <v>75.73142857142857</v>
      </c>
      <c r="K9" s="19">
        <v>130</v>
      </c>
      <c r="L9" s="22" t="s">
        <v>70</v>
      </c>
      <c r="M9" s="42">
        <f>(ABS(G9)/Instruccions!B31*60)</f>
        <v>1.7142857142857142</v>
      </c>
      <c r="N9" s="43">
        <f>(H9/Instruccions!B32*60)</f>
        <v>18</v>
      </c>
      <c r="O9" s="43">
        <f t="shared" si="2"/>
        <v>18.857142857142858</v>
      </c>
      <c r="P9" s="44">
        <f t="shared" si="3"/>
        <v>5125</v>
      </c>
    </row>
    <row r="10" spans="2:16" ht="19.5" customHeight="1">
      <c r="B10" s="16" t="str">
        <f t="shared" si="4"/>
        <v>plansesilles</v>
      </c>
      <c r="C10" s="17">
        <f t="shared" si="0"/>
        <v>390</v>
      </c>
      <c r="D10" s="18" t="s">
        <v>58</v>
      </c>
      <c r="E10" s="19">
        <v>400</v>
      </c>
      <c r="F10" s="20">
        <v>314</v>
      </c>
      <c r="G10" s="21">
        <f t="shared" si="5"/>
        <v>10</v>
      </c>
      <c r="H10" s="19">
        <v>1000</v>
      </c>
      <c r="I10" s="21">
        <f>IF(G10&gt;=0,O10*(100+Instruccions!B33)/100,(O10*2/3)*(100+Instruccions!B33)/100)</f>
        <v>18</v>
      </c>
      <c r="J10" s="21">
        <f t="shared" si="1"/>
        <v>93.73142857142857</v>
      </c>
      <c r="K10" s="19"/>
      <c r="L10" s="22" t="s">
        <v>69</v>
      </c>
      <c r="M10" s="42">
        <f>(ABS(G10)/Instruccions!B31*60)</f>
        <v>1.7142857142857142</v>
      </c>
      <c r="N10" s="43">
        <f>(H10/Instruccions!B32*60)</f>
        <v>12</v>
      </c>
      <c r="O10" s="43">
        <f t="shared" si="2"/>
        <v>12.857142857142858</v>
      </c>
      <c r="P10" s="44">
        <f t="shared" si="3"/>
        <v>6125</v>
      </c>
    </row>
    <row r="11" spans="2:16" ht="19.5" customHeight="1">
      <c r="B11" s="16" t="str">
        <f t="shared" si="4"/>
        <v>malafrau petita</v>
      </c>
      <c r="C11" s="17">
        <f t="shared" si="0"/>
        <v>400</v>
      </c>
      <c r="D11" s="18" t="s">
        <v>59</v>
      </c>
      <c r="E11" s="19">
        <v>450</v>
      </c>
      <c r="F11" s="20">
        <v>290</v>
      </c>
      <c r="G11" s="21">
        <f t="shared" si="5"/>
        <v>50</v>
      </c>
      <c r="H11" s="19">
        <v>1125</v>
      </c>
      <c r="I11" s="21">
        <f>IF(G11&gt;=0,O11*(100+Instruccions!B33)/100,(O11*2/3)*(100+Instruccions!B33)/100)</f>
        <v>24.9</v>
      </c>
      <c r="J11" s="21">
        <f t="shared" si="1"/>
        <v>118.63142857142856</v>
      </c>
      <c r="K11" s="19">
        <v>210</v>
      </c>
      <c r="L11" s="22" t="s">
        <v>60</v>
      </c>
      <c r="M11" s="42">
        <f>(ABS(G11)/Instruccions!B31*60)</f>
        <v>8.571428571428571</v>
      </c>
      <c r="N11" s="43">
        <f>(H11/Instruccions!B32*60)</f>
        <v>13.5</v>
      </c>
      <c r="O11" s="43">
        <f t="shared" si="2"/>
        <v>17.785714285714285</v>
      </c>
      <c r="P11" s="44">
        <f t="shared" si="3"/>
        <v>7250</v>
      </c>
    </row>
    <row r="12" spans="2:16" ht="19.5" customHeight="1">
      <c r="B12" s="16" t="str">
        <f t="shared" si="4"/>
        <v>malafrau grossa</v>
      </c>
      <c r="C12" s="17">
        <f t="shared" si="0"/>
        <v>450</v>
      </c>
      <c r="D12" s="18" t="s">
        <v>61</v>
      </c>
      <c r="E12" s="19">
        <v>400</v>
      </c>
      <c r="F12" s="20">
        <v>258</v>
      </c>
      <c r="G12" s="21">
        <f t="shared" si="5"/>
        <v>-50</v>
      </c>
      <c r="H12" s="19">
        <v>1000</v>
      </c>
      <c r="I12" s="21">
        <f>IF(G12&gt;=0,O12*(100+Instruccions!B33)/100,(O12*2/3)*(100+Instruccions!B33)/100)</f>
        <v>15.199999999999998</v>
      </c>
      <c r="J12" s="21">
        <f t="shared" si="1"/>
        <v>133.83142857142855</v>
      </c>
      <c r="K12" s="19">
        <v>250</v>
      </c>
      <c r="L12" s="22" t="s">
        <v>71</v>
      </c>
      <c r="M12" s="42">
        <f>(ABS(G12)/Instruccions!B31*60)</f>
        <v>8.571428571428571</v>
      </c>
      <c r="N12" s="43">
        <f>(H12/Instruccions!B32*60)</f>
        <v>12</v>
      </c>
      <c r="O12" s="43">
        <f t="shared" si="2"/>
        <v>16.285714285714285</v>
      </c>
      <c r="P12" s="44">
        <f t="shared" si="3"/>
        <v>8250</v>
      </c>
    </row>
    <row r="13" spans="2:16" ht="19.5" customHeight="1">
      <c r="B13" s="16" t="str">
        <f t="shared" si="4"/>
        <v>la farga</v>
      </c>
      <c r="C13" s="17">
        <f t="shared" si="0"/>
        <v>400</v>
      </c>
      <c r="D13" s="18" t="s">
        <v>63</v>
      </c>
      <c r="E13" s="19">
        <v>650</v>
      </c>
      <c r="F13" s="20">
        <v>110</v>
      </c>
      <c r="G13" s="21">
        <f t="shared" si="5"/>
        <v>250</v>
      </c>
      <c r="H13" s="19">
        <v>1250</v>
      </c>
      <c r="I13" s="21">
        <f>IF(G13&gt;=0,O13*(100+Instruccions!B33)/100,(O13*2/3)*(100+Instruccions!B33)/100)</f>
        <v>70.50000000000001</v>
      </c>
      <c r="J13" s="21">
        <f t="shared" si="1"/>
        <v>204.33142857142855</v>
      </c>
      <c r="K13" s="19">
        <v>310</v>
      </c>
      <c r="L13" s="22" t="s">
        <v>62</v>
      </c>
      <c r="M13" s="42">
        <f>(ABS(G13)/Instruccions!B31*60)</f>
        <v>42.85714285714286</v>
      </c>
      <c r="N13" s="43">
        <f>(H13/Instruccions!B32*60)</f>
        <v>15</v>
      </c>
      <c r="O13" s="43">
        <f t="shared" si="2"/>
        <v>50.35714285714286</v>
      </c>
      <c r="P13" s="44">
        <f t="shared" si="3"/>
        <v>9500</v>
      </c>
    </row>
    <row r="14" spans="2:16" ht="19.5" customHeight="1">
      <c r="B14" s="16" t="str">
        <f t="shared" si="4"/>
        <v>collada dels muls</v>
      </c>
      <c r="C14" s="17">
        <f t="shared" si="0"/>
        <v>650</v>
      </c>
      <c r="D14" s="18" t="s">
        <v>64</v>
      </c>
      <c r="E14" s="19">
        <v>850</v>
      </c>
      <c r="F14" s="20">
        <v>226</v>
      </c>
      <c r="G14" s="21">
        <f t="shared" si="5"/>
        <v>200</v>
      </c>
      <c r="H14" s="19">
        <v>1500</v>
      </c>
      <c r="I14" s="21">
        <f>IF(G14&gt;=0,O14*(100+Instruccions!B33)/100,(O14*2/3)*(100+Instruccions!B33)/100)</f>
        <v>60.6</v>
      </c>
      <c r="J14" s="21">
        <f t="shared" si="1"/>
        <v>264.93142857142857</v>
      </c>
      <c r="K14" s="19">
        <v>365</v>
      </c>
      <c r="L14" s="22" t="s">
        <v>72</v>
      </c>
      <c r="M14" s="42">
        <f>(ABS(G14)/Instruccions!B31*60)</f>
        <v>34.285714285714285</v>
      </c>
      <c r="N14" s="43">
        <f>(H14/Instruccions!B32*60)</f>
        <v>18</v>
      </c>
      <c r="O14" s="43">
        <f t="shared" si="2"/>
        <v>43.285714285714285</v>
      </c>
      <c r="P14" s="44">
        <f t="shared" si="3"/>
        <v>11000</v>
      </c>
    </row>
    <row r="15" spans="2:16" ht="19.5" customHeight="1">
      <c r="B15" s="16" t="str">
        <f t="shared" si="4"/>
        <v>la portella</v>
      </c>
      <c r="C15" s="17">
        <f t="shared" si="0"/>
        <v>850</v>
      </c>
      <c r="D15" s="18" t="s">
        <v>65</v>
      </c>
      <c r="E15" s="19">
        <v>1058</v>
      </c>
      <c r="F15" s="20">
        <v>86</v>
      </c>
      <c r="G15" s="21">
        <f t="shared" si="5"/>
        <v>208</v>
      </c>
      <c r="H15" s="19">
        <v>625</v>
      </c>
      <c r="I15" s="21">
        <f>IF(G15&gt;=0,O15*(100+Instruccions!B33)/100,(O15*2/3)*(100+Instruccions!B33)/100)</f>
        <v>55.17</v>
      </c>
      <c r="J15" s="21">
        <f t="shared" si="1"/>
        <v>320.1014285714286</v>
      </c>
      <c r="K15" s="19">
        <v>425</v>
      </c>
      <c r="L15" s="22"/>
      <c r="M15" s="42">
        <f>(ABS(G15)/Instruccions!B31*60)</f>
        <v>35.65714285714286</v>
      </c>
      <c r="N15" s="43">
        <f>(H15/Instruccions!B32*60)</f>
        <v>7.5</v>
      </c>
      <c r="O15" s="43">
        <f t="shared" si="2"/>
        <v>39.40714285714286</v>
      </c>
      <c r="P15" s="44">
        <f t="shared" si="3"/>
        <v>11625</v>
      </c>
    </row>
    <row r="16" spans="2:16" ht="19.5" customHeight="1">
      <c r="B16" s="16" t="str">
        <f t="shared" si="4"/>
        <v>Sant julià de bestrecà (castell)</v>
      </c>
      <c r="C16" s="17">
        <f t="shared" si="0"/>
        <v>1058</v>
      </c>
      <c r="D16" s="18" t="s">
        <v>66</v>
      </c>
      <c r="E16" s="19">
        <v>850</v>
      </c>
      <c r="F16" s="20">
        <v>168</v>
      </c>
      <c r="G16" s="21">
        <f t="shared" si="5"/>
        <v>-208</v>
      </c>
      <c r="H16" s="19">
        <v>625</v>
      </c>
      <c r="I16" s="21">
        <f>IF(G16&gt;=0,O16*(100+Instruccions!B33)/100,(O16*2/3)*(100+Instruccions!B33)/100)</f>
        <v>36.78</v>
      </c>
      <c r="J16" s="21">
        <f t="shared" si="1"/>
        <v>356.8814285714286</v>
      </c>
      <c r="K16" s="19">
        <v>445</v>
      </c>
      <c r="L16" s="22"/>
      <c r="M16" s="42">
        <f>(ABS(G16)/Instruccions!B31*60)</f>
        <v>35.65714285714286</v>
      </c>
      <c r="N16" s="43">
        <f>(H16/Instruccions!B32*60)</f>
        <v>7.5</v>
      </c>
      <c r="O16" s="43">
        <f t="shared" si="2"/>
        <v>39.40714285714286</v>
      </c>
      <c r="P16" s="44">
        <f t="shared" si="3"/>
        <v>12250</v>
      </c>
    </row>
    <row r="17" spans="2:16" ht="19.5" customHeight="1">
      <c r="B17" s="16" t="str">
        <f t="shared" si="4"/>
        <v>sant andreu de bestrecà</v>
      </c>
      <c r="C17" s="17">
        <f>IF(B17="",0,E16)</f>
        <v>850</v>
      </c>
      <c r="D17" s="20" t="s">
        <v>67</v>
      </c>
      <c r="E17" s="19">
        <v>690</v>
      </c>
      <c r="F17" s="20">
        <v>134</v>
      </c>
      <c r="G17" s="21">
        <f t="shared" si="5"/>
        <v>-160</v>
      </c>
      <c r="H17" s="19">
        <v>1250</v>
      </c>
      <c r="I17" s="21">
        <f>IF(G17&gt;=0,O17*(100+Instruccions!B33)/100,(O17*2/3)*(100+Instruccions!B33)/100)</f>
        <v>32.6</v>
      </c>
      <c r="J17" s="21">
        <f t="shared" si="1"/>
        <v>389.48142857142864</v>
      </c>
      <c r="K17" s="19"/>
      <c r="L17" s="22"/>
      <c r="M17" s="42">
        <f>(ABS(G17)/Instruccions!B31*60)</f>
        <v>27.428571428571427</v>
      </c>
      <c r="N17" s="43">
        <f>(H17/Instruccions!B32*60)</f>
        <v>15</v>
      </c>
      <c r="O17" s="43">
        <f t="shared" si="2"/>
        <v>34.92857142857143</v>
      </c>
      <c r="P17" s="44">
        <f t="shared" si="3"/>
        <v>13500</v>
      </c>
    </row>
    <row r="18" spans="2:16" ht="19.5" customHeight="1">
      <c r="B18" s="16" t="str">
        <f t="shared" si="4"/>
        <v>el peirer</v>
      </c>
      <c r="C18" s="17">
        <f aca="true" t="shared" si="6" ref="C18:C26">IF(B18="",0,E17)</f>
        <v>690</v>
      </c>
      <c r="D18" s="20" t="s">
        <v>68</v>
      </c>
      <c r="E18" s="19">
        <v>417</v>
      </c>
      <c r="F18" s="20">
        <v>176</v>
      </c>
      <c r="G18" s="21">
        <f t="shared" si="5"/>
        <v>-273</v>
      </c>
      <c r="H18" s="19">
        <v>1750</v>
      </c>
      <c r="I18" s="21">
        <f>IF(G18&gt;=0,O18*(100+Instruccions!B33)/100,(O18*2/3)*(100+Instruccions!B33)/100)</f>
        <v>53.48</v>
      </c>
      <c r="J18" s="21">
        <f t="shared" si="1"/>
        <v>442.96142857142866</v>
      </c>
      <c r="K18" s="19">
        <v>506</v>
      </c>
      <c r="L18" s="22" t="s">
        <v>73</v>
      </c>
      <c r="M18" s="42">
        <f>(ABS(G18)/Instruccions!B31*60)</f>
        <v>46.800000000000004</v>
      </c>
      <c r="N18" s="43">
        <f>(H18/Instruccions!B32*60)</f>
        <v>21</v>
      </c>
      <c r="O18" s="43">
        <f t="shared" si="2"/>
        <v>57.300000000000004</v>
      </c>
      <c r="P18" s="44">
        <f t="shared" si="3"/>
        <v>15250</v>
      </c>
    </row>
    <row r="19" spans="2:16" ht="19.5" customHeight="1">
      <c r="B19" s="16">
        <f t="shared" si="4"/>
      </c>
      <c r="C19" s="17">
        <f t="shared" si="6"/>
        <v>0</v>
      </c>
      <c r="D19" s="20"/>
      <c r="E19" s="19"/>
      <c r="F19" s="20"/>
      <c r="G19" s="21">
        <f t="shared" si="5"/>
        <v>0</v>
      </c>
      <c r="H19" s="19"/>
      <c r="I19" s="21">
        <f>IF(G19&gt;=0,O19*(100+Instruccions!B33)/100,(O19*2/3)*(100+Instruccions!B33)/100)</f>
        <v>0</v>
      </c>
      <c r="J19" s="21">
        <f t="shared" si="1"/>
        <v>0</v>
      </c>
      <c r="K19" s="19"/>
      <c r="L19" s="22"/>
      <c r="M19" s="42">
        <f>(ABS(G19)/Instruccions!B31*60)</f>
        <v>0</v>
      </c>
      <c r="N19" s="43">
        <f>(H19/Instruccions!B32*60)</f>
        <v>0</v>
      </c>
      <c r="O19" s="43">
        <f t="shared" si="2"/>
        <v>0</v>
      </c>
      <c r="P19" s="44" t="e">
        <f t="shared" si="3"/>
        <v>#N/A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/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/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7.5" customHeight="1" thickBot="1" thickTop="1"/>
    <row r="28" spans="2:4" ht="15" customHeight="1" thickTop="1">
      <c r="B28" s="31" t="s">
        <v>16</v>
      </c>
      <c r="C28" s="32">
        <f>SUM(H7:H27)</f>
        <v>15250</v>
      </c>
      <c r="D28" s="33"/>
    </row>
    <row r="29" spans="2:4" ht="19.5" customHeight="1">
      <c r="B29" s="8" t="s">
        <v>17</v>
      </c>
      <c r="C29" s="6">
        <f>SUM(I7:I27)</f>
        <v>442.96142857142866</v>
      </c>
      <c r="D29" s="34">
        <f>C29/60</f>
        <v>7.3826904761904775</v>
      </c>
    </row>
    <row r="30" spans="2:4" ht="19.5" customHeight="1">
      <c r="B30" s="8" t="s">
        <v>18</v>
      </c>
      <c r="C30" s="6">
        <f>SUMIF(G7:G27,"&gt;0",G7:G27)</f>
        <v>758</v>
      </c>
      <c r="D30" s="35"/>
    </row>
    <row r="31" spans="2:4" ht="17.25" customHeight="1" thickBot="1">
      <c r="B31" s="9" t="s">
        <v>19</v>
      </c>
      <c r="C31" s="7">
        <f>SUMIF(G7:G27,"&lt;0",G7:G27)</f>
        <v>-758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E7:E26 P7:P25 H7:H26 M7:O26 C7 K7:K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24" right="0.21" top="0.2" bottom="0.22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3" sqref="B33"/>
    </sheetView>
  </sheetViews>
  <sheetFormatPr defaultColWidth="11.42187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350</v>
      </c>
      <c r="C31" s="51">
        <v>300</v>
      </c>
    </row>
    <row r="32" spans="1:3" ht="13.5">
      <c r="A32" s="53" t="s">
        <v>9</v>
      </c>
      <c r="B32" s="55">
        <v>5000</v>
      </c>
      <c r="C32" s="51">
        <v>4000</v>
      </c>
    </row>
    <row r="33" spans="1:3" ht="13.5">
      <c r="A33" s="53" t="s">
        <v>10</v>
      </c>
      <c r="B33" s="55">
        <v>40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2005-05-20T20:13:02Z</cp:lastPrinted>
  <dcterms:created xsi:type="dcterms:W3CDTF">2004-05-05T18:52:05Z</dcterms:created>
  <dcterms:modified xsi:type="dcterms:W3CDTF">2006-04-12T21:54:42Z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