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tècnica'!$B$1:$K$30</definedName>
  </definedNames>
  <calcPr fullCalcOnLoad="1"/>
</workbook>
</file>

<file path=xl/sharedStrings.xml><?xml version="1.0" encoding="utf-8"?>
<sst xmlns="http://schemas.openxmlformats.org/spreadsheetml/2006/main" count="69" uniqueCount="67">
  <si>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</si>
  <si>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</si>
  <si>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</si>
  <si>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</si>
  <si>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</si>
  <si>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</si>
  <si>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</si>
  <si>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</si>
  <si>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</si>
  <si>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</si>
  <si>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</si>
  <si>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</si>
  <si>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</si>
  <si>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</si>
  <si>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</si>
  <si>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</si>
  <si>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</si>
  <si>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</si>
  <si>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</si>
  <si>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</si>
  <si>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</si>
  <si>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</si>
  <si>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</si>
  <si>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</si>
  <si>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</si>
  <si>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</si>
  <si>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</si>
  <si>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</si>
  <si>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</si>
  <si>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</si>
  <si>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</si>
  <si>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</si>
  <si>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</si>
  <si>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</si>
  <si>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</si>
  <si>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</si>
  <si>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</si>
  <si>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</si>
  <si>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</si>
  <si>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</si>
  <si>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</si>
  <si>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</si>
  <si>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</si>
  <si>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</si>
  <si>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</si>
  <si>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</si>
  <si>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</si>
  <si>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</si>
  <si>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</si>
  <si>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</si>
  <si>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</si>
  <si>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</si>
  <si>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Etapa 32 : TORRENTE BROUSSET - CANDANCHU</t>
  </si>
  <si>
    <t>Torrente Brousset</t>
  </si>
  <si>
    <t>Refugio de la Pompie</t>
  </si>
  <si>
    <t>Col de Peiraget</t>
  </si>
  <si>
    <t>Midi d'Ossau</t>
  </si>
  <si>
    <t>Lac de Periaget</t>
  </si>
  <si>
    <t>Col de los Monges</t>
  </si>
  <si>
    <t>Ibon de Escalar</t>
  </si>
  <si>
    <t>Astún</t>
  </si>
  <si>
    <t>Candanchu (FINAL)</t>
  </si>
  <si>
    <t>210. Parada 15 minuts</t>
  </si>
  <si>
    <t xml:space="preserve">  -  . No fem el Midi d'Ossau des d'aquí, perquè qualsevol de les vies de pujada s'ha d'escalar. No és una via normal de trekking.</t>
  </si>
  <si>
    <t>445 . Rumb extrapolat. Parada de 10 minuts. El pIc de les Monges és el que ens marca el camí, durant gran part del recoregut.Aquest tram és molt llarg perquè s'ha de baixar molt de desnivell i llavors tornar-lo a pujar. La baixada és molt pronunciada.</t>
  </si>
  <si>
    <t>145. Parada de 20 minuts.El mapa de l'Alpina no serveix per fer aquest recorregut.</t>
  </si>
  <si>
    <t xml:space="preserve">  -  . No fem aquest tros perquè és de pista asfalta i molt lleig.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</si>
</sst>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9.75"/>
      <name val="Arial"/>
      <family val="0"/>
    </font>
    <font>
      <b/>
      <sz val="9.75"/>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color indexed="22"/>
      </bottom>
    </border>
    <border>
      <left>
        <color indexed="63"/>
      </left>
      <right style="double"/>
      <top style="thin">
        <color indexed="22"/>
      </top>
      <bottom style="double"/>
    </border>
    <border>
      <left>
        <color indexed="63"/>
      </left>
      <right style="double"/>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NumberFormat="1" applyFont="1" applyFill="1" applyBorder="1" applyAlignment="1" applyProtection="1">
      <alignment horizontal="left"/>
      <protection locked="0"/>
    </xf>
    <xf numFmtId="0" fontId="7" fillId="0" borderId="8" xfId="0" applyFont="1" applyBorder="1" applyAlignment="1" applyProtection="1">
      <alignment horizontal="left" indent="1"/>
      <protection locked="0"/>
    </xf>
    <xf numFmtId="3" fontId="7" fillId="0" borderId="8" xfId="0" applyNumberFormat="1" applyFont="1" applyBorder="1" applyAlignment="1" applyProtection="1">
      <alignment/>
      <protection locked="0"/>
    </xf>
    <xf numFmtId="0" fontId="7" fillId="0" borderId="8" xfId="0" applyFont="1" applyBorder="1" applyAlignment="1" applyProtection="1">
      <alignment/>
      <protection locked="0"/>
    </xf>
    <xf numFmtId="3" fontId="7" fillId="3" borderId="8" xfId="0" applyNumberFormat="1" applyFont="1" applyFill="1" applyBorder="1" applyAlignment="1" applyProtection="1">
      <alignment/>
      <protection/>
    </xf>
    <xf numFmtId="0" fontId="7" fillId="3" borderId="7" xfId="0" applyNumberFormat="1" applyFont="1" applyFill="1" applyBorder="1" applyAlignment="1" applyProtection="1">
      <alignment horizontal="left"/>
      <protection/>
    </xf>
    <xf numFmtId="3" fontId="7" fillId="3" borderId="9" xfId="0" applyNumberFormat="1" applyFont="1" applyFill="1" applyBorder="1" applyAlignment="1" applyProtection="1">
      <alignment horizontal="right"/>
      <protection/>
    </xf>
    <xf numFmtId="0" fontId="7" fillId="0" borderId="9" xfId="0" applyFont="1" applyBorder="1" applyAlignment="1" applyProtection="1">
      <alignment horizontal="left" indent="1"/>
      <protection locked="0"/>
    </xf>
    <xf numFmtId="3" fontId="7" fillId="0" borderId="9" xfId="0" applyNumberFormat="1" applyFont="1" applyBorder="1" applyAlignment="1" applyProtection="1">
      <alignment/>
      <protection locked="0"/>
    </xf>
    <xf numFmtId="0" fontId="7" fillId="0" borderId="9" xfId="0" applyFont="1" applyBorder="1" applyAlignment="1" applyProtection="1">
      <alignment/>
      <protection locked="0"/>
    </xf>
    <xf numFmtId="3" fontId="7" fillId="3" borderId="9" xfId="0" applyNumberFormat="1" applyFont="1" applyFill="1" applyBorder="1" applyAlignment="1" applyProtection="1">
      <alignment/>
      <protection/>
    </xf>
    <xf numFmtId="0" fontId="7" fillId="3" borderId="10" xfId="0" applyNumberFormat="1" applyFont="1" applyFill="1" applyBorder="1" applyAlignment="1" applyProtection="1">
      <alignment horizontal="left"/>
      <protection/>
    </xf>
    <xf numFmtId="3" fontId="7" fillId="3" borderId="11" xfId="0" applyNumberFormat="1" applyFont="1" applyFill="1" applyBorder="1" applyAlignment="1" applyProtection="1">
      <alignment horizontal="right"/>
      <protection/>
    </xf>
    <xf numFmtId="3" fontId="7" fillId="0" borderId="12" xfId="0" applyNumberFormat="1" applyFont="1" applyBorder="1" applyAlignment="1" applyProtection="1">
      <alignment/>
      <protection locked="0"/>
    </xf>
    <xf numFmtId="0" fontId="7" fillId="0" borderId="12" xfId="0" applyFont="1" applyBorder="1" applyAlignment="1" applyProtection="1">
      <alignment/>
      <protection locked="0"/>
    </xf>
    <xf numFmtId="3" fontId="7" fillId="3" borderId="12" xfId="0" applyNumberFormat="1" applyFont="1" applyFill="1" applyBorder="1" applyAlignment="1" applyProtection="1">
      <alignment/>
      <protection/>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3" xfId="0" applyNumberFormat="1" applyFont="1" applyFill="1" applyBorder="1" applyAlignment="1" applyProtection="1">
      <alignment horizontal="right"/>
      <protection/>
    </xf>
    <xf numFmtId="0" fontId="0" fillId="3" borderId="13" xfId="0" applyFill="1" applyBorder="1" applyAlignment="1" applyProtection="1">
      <alignment/>
      <protection/>
    </xf>
    <xf numFmtId="0" fontId="0" fillId="3" borderId="14"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7" xfId="0" applyNumberFormat="1" applyFont="1" applyBorder="1" applyAlignment="1" applyProtection="1">
      <alignment/>
      <protection/>
    </xf>
    <xf numFmtId="176" fontId="7" fillId="0" borderId="8" xfId="0" applyNumberFormat="1" applyFont="1" applyBorder="1" applyAlignment="1" applyProtection="1">
      <alignment/>
      <protection/>
    </xf>
    <xf numFmtId="3" fontId="7" fillId="0" borderId="15" xfId="0" applyNumberFormat="1" applyFont="1" applyBorder="1" applyAlignment="1" applyProtection="1">
      <alignment/>
      <protection/>
    </xf>
    <xf numFmtId="3" fontId="7" fillId="0" borderId="12" xfId="0" applyNumberFormat="1" applyFont="1" applyBorder="1" applyAlignment="1" applyProtection="1">
      <alignment/>
      <protection/>
    </xf>
    <xf numFmtId="0" fontId="7" fillId="0" borderId="16" xfId="0" applyFont="1" applyBorder="1" applyAlignment="1" applyProtection="1">
      <alignment/>
      <protection/>
    </xf>
    <xf numFmtId="3" fontId="7" fillId="0" borderId="10"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9"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0" fontId="8" fillId="6" borderId="0" xfId="0" applyFont="1" applyFill="1" applyBorder="1" applyAlignment="1" applyProtection="1">
      <alignment horizontal="center"/>
      <protection locked="0"/>
    </xf>
    <xf numFmtId="0" fontId="7" fillId="0" borderId="15"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17" xfId="0" applyFont="1" applyBorder="1" applyAlignment="1" applyProtection="1" quotePrefix="1">
      <alignment horizontal="lef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9475"/>
          <c:w val="0.9525"/>
          <c:h val="0.861"/>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tècnica'!$O$6:$O$25</c:f>
              <c:numCache>
                <c:ptCount val="20"/>
                <c:pt idx="0">
                  <c:v>4000</c:v>
                </c:pt>
                <c:pt idx="1">
                  <c:v>5000</c:v>
                </c:pt>
                <c:pt idx="2">
                  <c:v>6000</c:v>
                </c:pt>
                <c:pt idx="3">
                  <c:v>7375</c:v>
                </c:pt>
                <c:pt idx="4">
                  <c:v>11375</c:v>
                </c:pt>
                <c:pt idx="5">
                  <c:v>11875</c:v>
                </c:pt>
                <c:pt idx="6">
                  <c:v>13250</c:v>
                </c:pt>
                <c:pt idx="7">
                  <c:v>16250</c:v>
                </c:pt>
                <c:pt idx="8">
                  <c:v>#N/A</c:v>
                </c:pt>
                <c:pt idx="9">
                  <c:v>#N/A</c:v>
                </c:pt>
                <c:pt idx="10">
                  <c:v>#N/A</c:v>
                </c:pt>
                <c:pt idx="11">
                  <c:v>#N/A</c:v>
                </c:pt>
                <c:pt idx="12">
                  <c:v>#N/A</c:v>
                </c:pt>
                <c:pt idx="13">
                  <c:v>#N/A</c:v>
                </c:pt>
                <c:pt idx="14">
                  <c:v>#N/A</c:v>
                </c:pt>
                <c:pt idx="15">
                  <c:v>#N/A</c:v>
                </c:pt>
                <c:pt idx="16">
                  <c:v>#N/A</c:v>
                </c:pt>
                <c:pt idx="17">
                  <c:v>#N/A</c:v>
                </c:pt>
                <c:pt idx="18">
                  <c:v>#N/A</c:v>
                </c:pt>
                <c:pt idx="19">
                  <c:v>#N/A</c:v>
                </c:pt>
              </c:numCache>
            </c:numRef>
          </c:xVal>
          <c:yVal>
            <c:numRef>
              <c:f>'Fitxa tècnica'!$E$6:$E$25</c:f>
              <c:numCache>
                <c:ptCount val="20"/>
                <c:pt idx="0">
                  <c:v>2031</c:v>
                </c:pt>
                <c:pt idx="1">
                  <c:v>2300</c:v>
                </c:pt>
                <c:pt idx="2">
                  <c:v>2884</c:v>
                </c:pt>
                <c:pt idx="3">
                  <c:v>2074</c:v>
                </c:pt>
                <c:pt idx="4">
                  <c:v>2168</c:v>
                </c:pt>
                <c:pt idx="5">
                  <c:v>2078</c:v>
                </c:pt>
                <c:pt idx="6">
                  <c:v>1710</c:v>
                </c:pt>
                <c:pt idx="7">
                  <c:v>1550</c:v>
                </c:pt>
              </c:numCache>
            </c:numRef>
          </c:yVal>
          <c:smooth val="1"/>
        </c:ser>
        <c:axId val="65386629"/>
        <c:axId val="51608750"/>
      </c:scatterChart>
      <c:valAx>
        <c:axId val="65386629"/>
        <c:scaling>
          <c:orientation val="minMax"/>
        </c:scaling>
        <c:axPos val="b"/>
        <c:title>
          <c:tx>
            <c:rich>
              <a:bodyPr vert="horz" rot="0" anchor="ctr"/>
              <a:lstStyle/>
              <a:p>
                <a:pPr algn="ctr">
                  <a:defRPr/>
                </a:pPr>
                <a:r>
                  <a:rPr lang="en-US" cap="none" sz="975"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51608750"/>
        <c:crosses val="autoZero"/>
        <c:crossBetween val="midCat"/>
        <c:dispUnits/>
      </c:valAx>
      <c:valAx>
        <c:axId val="51608750"/>
        <c:scaling>
          <c:orientation val="minMax"/>
        </c:scaling>
        <c:axPos val="l"/>
        <c:title>
          <c:tx>
            <c:rich>
              <a:bodyPr vert="horz" rot="-5400000" anchor="ctr"/>
              <a:lstStyle/>
              <a:p>
                <a:pPr algn="ctr">
                  <a:defRPr/>
                </a:pPr>
                <a:r>
                  <a:rPr lang="en-US" cap="none" sz="975"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5386629"/>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485775</xdr:colOff>
      <xdr:row>25</xdr:row>
      <xdr:rowOff>95250</xdr:rowOff>
    </xdr:from>
    <xdr:to>
      <xdr:col>10</xdr:col>
      <xdr:colOff>2428875</xdr:colOff>
      <xdr:row>29</xdr:row>
      <xdr:rowOff>228600</xdr:rowOff>
    </xdr:to>
    <xdr:pic>
      <xdr:nvPicPr>
        <xdr:cNvPr id="1" name="Picture 1"/>
        <xdr:cNvPicPr preferRelativeResize="1">
          <a:picLocks noChangeAspect="1"/>
        </xdr:cNvPicPr>
      </xdr:nvPicPr>
      <xdr:blipFill>
        <a:blip r:embed="rId1"/>
        <a:stretch>
          <a:fillRect/>
        </a:stretch>
      </xdr:blipFill>
      <xdr:spPr>
        <a:xfrm>
          <a:off x="8048625" y="6115050"/>
          <a:ext cx="19431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20225" cy="7543800"/>
    <xdr:graphicFrame>
      <xdr:nvGraphicFramePr>
        <xdr:cNvPr id="1" name="Shape 1025"/>
        <xdr:cNvGraphicFramePr/>
      </xdr:nvGraphicFramePr>
      <xdr:xfrm>
        <a:off x="0" y="0"/>
        <a:ext cx="9420225" cy="7543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30"/>
  <sheetViews>
    <sheetView showGridLines="0" tabSelected="1" zoomScale="75" zoomScaleNormal="75" workbookViewId="0" topLeftCell="A1">
      <selection activeCell="D14" sqref="D14"/>
    </sheetView>
  </sheetViews>
  <sheetFormatPr defaultColWidth="11.421875" defaultRowHeight="12.75" outlineLevelCol="1"/>
  <cols>
    <col min="1" max="1" width="3.421875" style="1" customWidth="1"/>
    <col min="2" max="2" width="23.57421875" style="1" customWidth="1"/>
    <col min="3" max="3" width="8.140625" style="1" customWidth="1"/>
    <col min="4" max="4" width="23.421875" style="1" customWidth="1"/>
    <col min="5" max="5" width="8.57421875" style="1" customWidth="1"/>
    <col min="6" max="6" width="7.8515625" style="1" customWidth="1"/>
    <col min="7" max="7" width="11.421875" style="1" customWidth="1"/>
    <col min="8" max="8" width="11.57421875" style="1" customWidth="1"/>
    <col min="9" max="10" width="7.7109375" style="1" customWidth="1"/>
    <col min="11" max="11" width="37.57421875" style="1" customWidth="1"/>
    <col min="12" max="12" width="13.28125" style="1" customWidth="1" outlineLevel="1"/>
    <col min="13" max="13" width="16.57421875" style="1" customWidth="1" outlineLevel="1"/>
    <col min="14" max="14" width="12.421875" style="1" customWidth="1" outlineLevel="1"/>
    <col min="15" max="15" width="9.28125" style="1" customWidth="1" outlineLevel="1"/>
    <col min="16" max="16384" width="11.421875" style="1" customWidth="1"/>
  </cols>
  <sheetData>
    <row r="1" spans="2:11" ht="19.5" customHeight="1">
      <c r="B1" s="58" t="s">
        <v>11</v>
      </c>
      <c r="C1" s="58"/>
      <c r="D1" s="58"/>
      <c r="E1" s="58"/>
      <c r="F1" s="58"/>
      <c r="G1" s="58"/>
      <c r="H1" s="58"/>
      <c r="I1" s="58"/>
      <c r="J1" s="58"/>
      <c r="K1" s="58"/>
    </row>
    <row r="2" ht="15" customHeight="1">
      <c r="C2" s="2"/>
    </row>
    <row r="3" spans="2:10" ht="15" customHeight="1">
      <c r="B3" s="26" t="s">
        <v>0</v>
      </c>
      <c r="C3" s="59" t="s">
        <v>52</v>
      </c>
      <c r="D3" s="60"/>
      <c r="E3" s="60"/>
      <c r="F3" s="60"/>
      <c r="G3" s="60"/>
      <c r="H3" s="60"/>
      <c r="I3" s="61"/>
      <c r="J3" s="53"/>
    </row>
    <row r="4" spans="2:10" ht="15" customHeight="1" thickBot="1">
      <c r="B4" s="27"/>
      <c r="C4" s="38"/>
      <c r="G4" s="38"/>
      <c r="H4" s="38"/>
      <c r="I4" s="38"/>
      <c r="J4" s="38"/>
    </row>
    <row r="5" spans="2:15" ht="19.5" customHeight="1" thickTop="1">
      <c r="B5" s="3" t="s">
        <v>1</v>
      </c>
      <c r="C5" s="4" t="s">
        <v>2</v>
      </c>
      <c r="D5" s="4" t="s">
        <v>3</v>
      </c>
      <c r="E5" s="34" t="s">
        <v>2</v>
      </c>
      <c r="F5" s="34" t="s">
        <v>4</v>
      </c>
      <c r="G5" s="34" t="s">
        <v>5</v>
      </c>
      <c r="H5" s="34" t="s">
        <v>6</v>
      </c>
      <c r="I5" s="34" t="s">
        <v>49</v>
      </c>
      <c r="J5" s="34" t="s">
        <v>48</v>
      </c>
      <c r="K5" s="5" t="s">
        <v>7</v>
      </c>
      <c r="L5" s="35" t="s">
        <v>20</v>
      </c>
      <c r="M5" s="36" t="s">
        <v>21</v>
      </c>
      <c r="N5" s="36" t="s">
        <v>22</v>
      </c>
      <c r="O5" s="37" t="s">
        <v>6</v>
      </c>
    </row>
    <row r="6" spans="2:15" ht="19.5" customHeight="1">
      <c r="B6" s="10" t="s">
        <v>53</v>
      </c>
      <c r="C6" s="18">
        <v>1440</v>
      </c>
      <c r="D6" s="11" t="s">
        <v>54</v>
      </c>
      <c r="E6" s="12">
        <v>2031</v>
      </c>
      <c r="F6" s="13">
        <v>272</v>
      </c>
      <c r="G6" s="14">
        <f>E6-C6</f>
        <v>591</v>
      </c>
      <c r="H6" s="12">
        <v>4000</v>
      </c>
      <c r="I6" s="14">
        <f>IF(G6&gt;=0,N6*(100+Instruccions!B33)/100,(N6*2/3)*(100+Instruccions!B33)/100)</f>
        <v>146.445</v>
      </c>
      <c r="J6" s="14">
        <f>I6</f>
        <v>146.445</v>
      </c>
      <c r="K6" s="54" t="s">
        <v>65</v>
      </c>
      <c r="L6" s="39">
        <f>(ABS(G6)/Instruccions!B31*60)</f>
        <v>88.65</v>
      </c>
      <c r="M6" s="40">
        <f>(H6/Instruccions!B32*60)</f>
        <v>48</v>
      </c>
      <c r="N6" s="40">
        <f>IF(L6&gt;=M6,L6+(M6/2),M6+(L6/2))</f>
        <v>112.65</v>
      </c>
      <c r="O6" s="41">
        <f>H6</f>
        <v>4000</v>
      </c>
    </row>
    <row r="7" spans="2:15" ht="19.5" customHeight="1">
      <c r="B7" s="15" t="str">
        <f>IF(D6="","",IF(ISERROR(SEARCH("Final",D6))=TRUE,D6,""))</f>
        <v>Refugio de la Pompie</v>
      </c>
      <c r="C7" s="16">
        <f aca="true" t="shared" si="0" ref="C7:C15">IF(B7="",0,E6)</f>
        <v>2031</v>
      </c>
      <c r="D7" s="11" t="s">
        <v>55</v>
      </c>
      <c r="E7" s="12">
        <v>2300</v>
      </c>
      <c r="F7" s="13">
        <v>262</v>
      </c>
      <c r="G7" s="14">
        <f>E7-C7</f>
        <v>269</v>
      </c>
      <c r="H7" s="12">
        <v>1000</v>
      </c>
      <c r="I7" s="14">
        <f>IF(G7&gt;=0,N7*(100+Instruccions!B34)/100,(N7*2/3)*(100+Instruccions!B34)/100)</f>
        <v>46.35</v>
      </c>
      <c r="J7" s="20">
        <f aca="true" t="shared" si="1" ref="J7:J12">IF(I7=0,0,I7+J6)</f>
        <v>192.795</v>
      </c>
      <c r="K7" s="54" t="s">
        <v>62</v>
      </c>
      <c r="L7" s="39">
        <f>(ABS(G7)/Instruccions!B31*60)</f>
        <v>40.35</v>
      </c>
      <c r="M7" s="40">
        <f>(H7/Instruccions!B32*60)</f>
        <v>12</v>
      </c>
      <c r="N7" s="40">
        <f aca="true" t="shared" si="2" ref="N7:N25">IF(L7&gt;=M7,L7+(M7/2),M7+(L7/2))</f>
        <v>46.35</v>
      </c>
      <c r="O7" s="41">
        <f aca="true" t="shared" si="3" ref="O7:O25">IF(H7=0,NA(),H7+O6)</f>
        <v>5000</v>
      </c>
    </row>
    <row r="8" spans="2:15" ht="19.5" customHeight="1">
      <c r="B8" s="15" t="str">
        <f aca="true" t="shared" si="4" ref="B8:B25">IF(D7="","",IF(ISERROR(SEARCH("Final",D7))=TRUE,D7,""))</f>
        <v>Col de Peiraget</v>
      </c>
      <c r="C8" s="16">
        <f t="shared" si="0"/>
        <v>2300</v>
      </c>
      <c r="D8" s="17" t="s">
        <v>56</v>
      </c>
      <c r="E8" s="18">
        <v>2884</v>
      </c>
      <c r="F8" s="19">
        <v>10</v>
      </c>
      <c r="G8" s="20">
        <f aca="true" t="shared" si="5" ref="G8:G25">E8-C8</f>
        <v>584</v>
      </c>
      <c r="H8" s="18">
        <v>1000</v>
      </c>
      <c r="I8" s="20">
        <f>IF(G8&gt;=0,N8*(100+Instruccions!B33)/100,(N8*2/3)*(100+Instruccions!B33)/100)</f>
        <v>121.68</v>
      </c>
      <c r="J8" s="20">
        <f t="shared" si="1"/>
        <v>314.475</v>
      </c>
      <c r="K8" s="57" t="s">
        <v>63</v>
      </c>
      <c r="L8" s="39">
        <f>(ABS(G8)/Instruccions!B31*60)</f>
        <v>87.6</v>
      </c>
      <c r="M8" s="40">
        <f>(H8/Instruccions!B32*60)</f>
        <v>12</v>
      </c>
      <c r="N8" s="40">
        <f t="shared" si="2"/>
        <v>93.6</v>
      </c>
      <c r="O8" s="41">
        <f t="shared" si="3"/>
        <v>6000</v>
      </c>
    </row>
    <row r="9" spans="2:15" ht="19.5" customHeight="1">
      <c r="B9" s="15" t="str">
        <f t="shared" si="4"/>
        <v>Midi d'Ossau</v>
      </c>
      <c r="C9" s="16">
        <f t="shared" si="0"/>
        <v>2884</v>
      </c>
      <c r="D9" s="17" t="s">
        <v>57</v>
      </c>
      <c r="E9" s="18">
        <v>2074</v>
      </c>
      <c r="F9" s="19">
        <v>228</v>
      </c>
      <c r="G9" s="20">
        <f t="shared" si="5"/>
        <v>-810</v>
      </c>
      <c r="H9" s="18">
        <v>1375</v>
      </c>
      <c r="I9" s="20">
        <f>IF(G9&gt;=0,N9*(100+Instruccions!B33)/100,(N9*2/3)*(100+Instruccions!B33)/100)</f>
        <v>112.45</v>
      </c>
      <c r="J9" s="20">
        <f t="shared" si="1"/>
        <v>426.925</v>
      </c>
      <c r="K9" s="55">
        <v>265</v>
      </c>
      <c r="L9" s="39">
        <f>(ABS(G9)/Instruccions!B31*60)</f>
        <v>121.5</v>
      </c>
      <c r="M9" s="40">
        <f>(H9/Instruccions!B32*60)</f>
        <v>16.5</v>
      </c>
      <c r="N9" s="40">
        <f t="shared" si="2"/>
        <v>129.75</v>
      </c>
      <c r="O9" s="41">
        <f t="shared" si="3"/>
        <v>7375</v>
      </c>
    </row>
    <row r="10" spans="2:15" ht="19.5" customHeight="1">
      <c r="B10" s="15" t="str">
        <f t="shared" si="4"/>
        <v>Lac de Periaget</v>
      </c>
      <c r="C10" s="16">
        <f t="shared" si="0"/>
        <v>2074</v>
      </c>
      <c r="D10" s="17" t="s">
        <v>58</v>
      </c>
      <c r="E10" s="18">
        <v>2168</v>
      </c>
      <c r="F10" s="19">
        <v>252</v>
      </c>
      <c r="G10" s="20">
        <f t="shared" si="5"/>
        <v>94</v>
      </c>
      <c r="H10" s="18">
        <v>4000</v>
      </c>
      <c r="I10" s="20">
        <f>IF(G10&gt;=0,N10*(100+Instruccions!B33)/100,(N10*2/3)*(100+Instruccions!B33)/100)</f>
        <v>71.565</v>
      </c>
      <c r="J10" s="20">
        <f t="shared" si="1"/>
        <v>498.49</v>
      </c>
      <c r="K10" s="55" t="s">
        <v>64</v>
      </c>
      <c r="L10" s="39">
        <f>(ABS(G10)/Instruccions!B31*60)</f>
        <v>14.1</v>
      </c>
      <c r="M10" s="40">
        <f>(H10/Instruccions!B32*60)</f>
        <v>48</v>
      </c>
      <c r="N10" s="40">
        <f t="shared" si="2"/>
        <v>55.05</v>
      </c>
      <c r="O10" s="41">
        <f t="shared" si="3"/>
        <v>11375</v>
      </c>
    </row>
    <row r="11" spans="2:15" ht="19.5" customHeight="1">
      <c r="B11" s="15" t="str">
        <f t="shared" si="4"/>
        <v>Col de los Monges</v>
      </c>
      <c r="C11" s="16">
        <f t="shared" si="0"/>
        <v>2168</v>
      </c>
      <c r="D11" s="17" t="s">
        <v>59</v>
      </c>
      <c r="E11" s="18">
        <v>2078</v>
      </c>
      <c r="F11" s="19">
        <v>264</v>
      </c>
      <c r="G11" s="20">
        <f t="shared" si="5"/>
        <v>-90</v>
      </c>
      <c r="H11" s="18">
        <v>500</v>
      </c>
      <c r="I11" s="20">
        <f>IF(G11&gt;=0,N11*(100+Instruccions!B33)/100,(N11*2/3)*(100+Instruccions!B33)/100)</f>
        <v>14.3</v>
      </c>
      <c r="J11" s="20">
        <f t="shared" si="1"/>
        <v>512.79</v>
      </c>
      <c r="K11" s="55">
        <v>455</v>
      </c>
      <c r="L11" s="39">
        <f>(ABS(G11)/Instruccions!B31*60)</f>
        <v>13.5</v>
      </c>
      <c r="M11" s="40">
        <f>(H11/Instruccions!B32*60)</f>
        <v>6</v>
      </c>
      <c r="N11" s="40">
        <f t="shared" si="2"/>
        <v>16.5</v>
      </c>
      <c r="O11" s="41">
        <f t="shared" si="3"/>
        <v>11875</v>
      </c>
    </row>
    <row r="12" spans="2:15" ht="19.5" customHeight="1">
      <c r="B12" s="15" t="str">
        <f t="shared" si="4"/>
        <v>Ibon de Escalar</v>
      </c>
      <c r="C12" s="16">
        <f t="shared" si="0"/>
        <v>2078</v>
      </c>
      <c r="D12" s="17" t="s">
        <v>60</v>
      </c>
      <c r="E12" s="18">
        <v>1710</v>
      </c>
      <c r="F12" s="19">
        <v>180</v>
      </c>
      <c r="G12" s="20">
        <f t="shared" si="5"/>
        <v>-368</v>
      </c>
      <c r="H12" s="18">
        <v>1375</v>
      </c>
      <c r="I12" s="20">
        <f>IF(G12&gt;=0,N12*(100+Instruccions!B33)/100,(N12*2/3)*(100+Instruccions!B33)/100)</f>
        <v>54.99000000000001</v>
      </c>
      <c r="J12" s="20">
        <f t="shared" si="1"/>
        <v>567.78</v>
      </c>
      <c r="K12" s="55">
        <v>495</v>
      </c>
      <c r="L12" s="39">
        <f>(ABS(G12)/Instruccions!B31*60)</f>
        <v>55.2</v>
      </c>
      <c r="M12" s="40">
        <f>(H12/Instruccions!B32*60)</f>
        <v>16.5</v>
      </c>
      <c r="N12" s="40">
        <f t="shared" si="2"/>
        <v>63.45</v>
      </c>
      <c r="O12" s="41">
        <f t="shared" si="3"/>
        <v>13250</v>
      </c>
    </row>
    <row r="13" spans="2:15" ht="19.5" customHeight="1">
      <c r="B13" s="15" t="str">
        <f t="shared" si="4"/>
        <v>Astún</v>
      </c>
      <c r="C13" s="16">
        <f t="shared" si="0"/>
        <v>1710</v>
      </c>
      <c r="D13" s="17" t="s">
        <v>61</v>
      </c>
      <c r="E13" s="18">
        <v>1550</v>
      </c>
      <c r="F13" s="19">
        <v>220</v>
      </c>
      <c r="G13" s="20">
        <f t="shared" si="5"/>
        <v>-160</v>
      </c>
      <c r="H13" s="18">
        <v>3000</v>
      </c>
      <c r="I13" s="20">
        <f>IF(G13&gt;=0,N13*(100+Instruccions!B33)/100,(N13*2/3)*(100+Instruccions!B33)/100)</f>
        <v>41.6</v>
      </c>
      <c r="J13" s="20">
        <f>IF(I13=0,0,I13+J12)</f>
        <v>609.38</v>
      </c>
      <c r="K13" s="57" t="s">
        <v>66</v>
      </c>
      <c r="L13" s="39">
        <f>(ABS(G13)/Instruccions!B31*60)</f>
        <v>24</v>
      </c>
      <c r="M13" s="40">
        <f>(H13/Instruccions!B32*60)</f>
        <v>36</v>
      </c>
      <c r="N13" s="40">
        <f t="shared" si="2"/>
        <v>48</v>
      </c>
      <c r="O13" s="41">
        <f t="shared" si="3"/>
        <v>16250</v>
      </c>
    </row>
    <row r="14" spans="2:15" ht="19.5" customHeight="1">
      <c r="B14" s="15">
        <f t="shared" si="4"/>
      </c>
      <c r="C14" s="16">
        <f t="shared" si="0"/>
        <v>0</v>
      </c>
      <c r="D14" s="17"/>
      <c r="E14" s="18"/>
      <c r="F14" s="19"/>
      <c r="G14" s="20">
        <f t="shared" si="5"/>
        <v>0</v>
      </c>
      <c r="H14" s="18"/>
      <c r="I14" s="20">
        <f>IF(G14&gt;=0,N14*(100+Instruccions!B33)/100,(N14*2/3)*(100+Instruccions!B33)/100)</f>
        <v>0</v>
      </c>
      <c r="J14" s="20">
        <f>IF(I14=0,0,I14+J13)</f>
        <v>0</v>
      </c>
      <c r="K14" s="55"/>
      <c r="L14" s="39">
        <f>(ABS(G14)/Instruccions!B31*60)</f>
        <v>0</v>
      </c>
      <c r="M14" s="40">
        <f>(H14/Instruccions!B32*60)</f>
        <v>0</v>
      </c>
      <c r="N14" s="40">
        <f t="shared" si="2"/>
        <v>0</v>
      </c>
      <c r="O14" s="41" t="e">
        <f t="shared" si="3"/>
        <v>#N/A</v>
      </c>
    </row>
    <row r="15" spans="2:15" ht="19.5" customHeight="1">
      <c r="B15" s="15">
        <f t="shared" si="4"/>
      </c>
      <c r="C15" s="16">
        <f t="shared" si="0"/>
        <v>0</v>
      </c>
      <c r="D15" s="17"/>
      <c r="E15" s="18"/>
      <c r="F15" s="19"/>
      <c r="G15" s="20">
        <f t="shared" si="5"/>
        <v>0</v>
      </c>
      <c r="H15" s="18"/>
      <c r="I15" s="20">
        <f>IF(G15&gt;=0,N15*(100+Instruccions!B33)/100,(N15*2/3)*(100+Instruccions!B33)/100)</f>
        <v>0</v>
      </c>
      <c r="J15" s="20">
        <f aca="true" t="shared" si="6" ref="J15:J25">IF(I15=0,0,I15+J14)</f>
        <v>0</v>
      </c>
      <c r="K15" s="55"/>
      <c r="L15" s="39">
        <f>(ABS(G15)/Instruccions!B31*60)</f>
        <v>0</v>
      </c>
      <c r="M15" s="40">
        <f>(H15/Instruccions!B32*60)</f>
        <v>0</v>
      </c>
      <c r="N15" s="40">
        <f t="shared" si="2"/>
        <v>0</v>
      </c>
      <c r="O15" s="41" t="e">
        <f t="shared" si="3"/>
        <v>#N/A</v>
      </c>
    </row>
    <row r="16" spans="2:15" ht="19.5" customHeight="1">
      <c r="B16" s="15">
        <f t="shared" si="4"/>
      </c>
      <c r="C16" s="16">
        <f>IF(B16="",0,E15)</f>
        <v>0</v>
      </c>
      <c r="D16" s="19"/>
      <c r="E16" s="18"/>
      <c r="F16" s="19"/>
      <c r="G16" s="20">
        <f t="shared" si="5"/>
        <v>0</v>
      </c>
      <c r="H16" s="18"/>
      <c r="I16" s="20">
        <f>IF(G16&gt;=0,N16*(100+Instruccions!B33)/100,(N16*2/3)*(100+Instruccions!B33)/100)</f>
        <v>0</v>
      </c>
      <c r="J16" s="20">
        <f t="shared" si="6"/>
        <v>0</v>
      </c>
      <c r="K16" s="55"/>
      <c r="L16" s="39">
        <f>(ABS(G16)/Instruccions!B31*60)</f>
        <v>0</v>
      </c>
      <c r="M16" s="40">
        <f>(H16/Instruccions!B32*60)</f>
        <v>0</v>
      </c>
      <c r="N16" s="40">
        <f t="shared" si="2"/>
        <v>0</v>
      </c>
      <c r="O16" s="41" t="e">
        <f t="shared" si="3"/>
        <v>#N/A</v>
      </c>
    </row>
    <row r="17" spans="2:15" ht="19.5" customHeight="1">
      <c r="B17" s="15">
        <f t="shared" si="4"/>
      </c>
      <c r="C17" s="16">
        <f aca="true" t="shared" si="7" ref="C17:C25">IF(B17="",0,E16)</f>
        <v>0</v>
      </c>
      <c r="D17" s="19"/>
      <c r="E17" s="18"/>
      <c r="F17" s="19"/>
      <c r="G17" s="20">
        <f t="shared" si="5"/>
        <v>0</v>
      </c>
      <c r="H17" s="18"/>
      <c r="I17" s="20">
        <f>IF(G17&gt;=0,N17*(100+Instruccions!B33)/100,(N17*2/3)*(100+Instruccions!B33)/100)</f>
        <v>0</v>
      </c>
      <c r="J17" s="20">
        <f t="shared" si="6"/>
        <v>0</v>
      </c>
      <c r="K17" s="55"/>
      <c r="L17" s="39">
        <f>(ABS(G17)/Instruccions!B31*60)</f>
        <v>0</v>
      </c>
      <c r="M17" s="40">
        <f>(H17/Instruccions!B32*60)</f>
        <v>0</v>
      </c>
      <c r="N17" s="40">
        <f t="shared" si="2"/>
        <v>0</v>
      </c>
      <c r="O17" s="41" t="e">
        <f t="shared" si="3"/>
        <v>#N/A</v>
      </c>
    </row>
    <row r="18" spans="2:15" ht="19.5" customHeight="1">
      <c r="B18" s="15">
        <f t="shared" si="4"/>
      </c>
      <c r="C18" s="16">
        <f t="shared" si="7"/>
        <v>0</v>
      </c>
      <c r="D18" s="19"/>
      <c r="E18" s="18"/>
      <c r="F18" s="19"/>
      <c r="G18" s="20">
        <f t="shared" si="5"/>
        <v>0</v>
      </c>
      <c r="H18" s="18"/>
      <c r="I18" s="20">
        <f>IF(G18&gt;=0,N18*(100+Instruccions!B33)/100,(N18*2/3)*(100+Instruccions!B33)/100)</f>
        <v>0</v>
      </c>
      <c r="J18" s="20">
        <f t="shared" si="6"/>
        <v>0</v>
      </c>
      <c r="K18" s="55"/>
      <c r="L18" s="39">
        <f>(ABS(G18)/Instruccions!B31*60)</f>
        <v>0</v>
      </c>
      <c r="M18" s="40">
        <f>(H18/Instruccions!B32*60)</f>
        <v>0</v>
      </c>
      <c r="N18" s="40">
        <f t="shared" si="2"/>
        <v>0</v>
      </c>
      <c r="O18" s="41" t="e">
        <f t="shared" si="3"/>
        <v>#N/A</v>
      </c>
    </row>
    <row r="19" spans="2:15" ht="19.5" customHeight="1">
      <c r="B19" s="15">
        <f t="shared" si="4"/>
      </c>
      <c r="C19" s="16">
        <f t="shared" si="7"/>
        <v>0</v>
      </c>
      <c r="D19" s="19"/>
      <c r="E19" s="18"/>
      <c r="F19" s="19"/>
      <c r="G19" s="20">
        <f t="shared" si="5"/>
        <v>0</v>
      </c>
      <c r="H19" s="18"/>
      <c r="I19" s="20">
        <f>IF(G19&gt;=0,N19*(100+Instruccions!B33)/100,(N19*2/3)*(100+Instruccions!B33)/100)</f>
        <v>0</v>
      </c>
      <c r="J19" s="20">
        <f t="shared" si="6"/>
        <v>0</v>
      </c>
      <c r="K19" s="55"/>
      <c r="L19" s="39">
        <f>(ABS(G19)/Instruccions!B31*60)</f>
        <v>0</v>
      </c>
      <c r="M19" s="40">
        <f>(H19/Instruccions!B32*60)</f>
        <v>0</v>
      </c>
      <c r="N19" s="40">
        <f t="shared" si="2"/>
        <v>0</v>
      </c>
      <c r="O19" s="41" t="e">
        <f t="shared" si="3"/>
        <v>#N/A</v>
      </c>
    </row>
    <row r="20" spans="2:15" ht="19.5" customHeight="1">
      <c r="B20" s="15">
        <f t="shared" si="4"/>
      </c>
      <c r="C20" s="16">
        <f t="shared" si="7"/>
        <v>0</v>
      </c>
      <c r="D20" s="19"/>
      <c r="E20" s="18"/>
      <c r="F20" s="19"/>
      <c r="G20" s="20">
        <f t="shared" si="5"/>
        <v>0</v>
      </c>
      <c r="H20" s="18"/>
      <c r="I20" s="20">
        <f>IF(G20&gt;=0,N20*(100+Instruccions!B33)/100,(N20*2/3)*(100+Instruccions!B33)/100)</f>
        <v>0</v>
      </c>
      <c r="J20" s="20">
        <f t="shared" si="6"/>
        <v>0</v>
      </c>
      <c r="K20" s="55"/>
      <c r="L20" s="39">
        <f>(ABS(G20)/Instruccions!B31*60)</f>
        <v>0</v>
      </c>
      <c r="M20" s="40">
        <f>(H20/Instruccions!B32*60)</f>
        <v>0</v>
      </c>
      <c r="N20" s="40">
        <f t="shared" si="2"/>
        <v>0</v>
      </c>
      <c r="O20" s="41" t="e">
        <f t="shared" si="3"/>
        <v>#N/A</v>
      </c>
    </row>
    <row r="21" spans="2:15" ht="19.5" customHeight="1">
      <c r="B21" s="15">
        <f t="shared" si="4"/>
      </c>
      <c r="C21" s="16">
        <f t="shared" si="7"/>
        <v>0</v>
      </c>
      <c r="D21" s="19"/>
      <c r="E21" s="18"/>
      <c r="F21" s="19"/>
      <c r="G21" s="20">
        <f t="shared" si="5"/>
        <v>0</v>
      </c>
      <c r="H21" s="18"/>
      <c r="I21" s="20">
        <f>IF(G21&gt;=0,N21*(100+Instruccions!B33)/100,(N21*2/3)*(100+Instruccions!B33)/100)</f>
        <v>0</v>
      </c>
      <c r="J21" s="20">
        <f t="shared" si="6"/>
        <v>0</v>
      </c>
      <c r="K21" s="55"/>
      <c r="L21" s="39">
        <f>(ABS(G21)/Instruccions!B31*60)</f>
        <v>0</v>
      </c>
      <c r="M21" s="40">
        <f>(H21/Instruccions!B32*60)</f>
        <v>0</v>
      </c>
      <c r="N21" s="40">
        <f t="shared" si="2"/>
        <v>0</v>
      </c>
      <c r="O21" s="41" t="e">
        <f t="shared" si="3"/>
        <v>#N/A</v>
      </c>
    </row>
    <row r="22" spans="2:15" ht="19.5" customHeight="1">
      <c r="B22" s="15">
        <f t="shared" si="4"/>
      </c>
      <c r="C22" s="16">
        <f t="shared" si="7"/>
        <v>0</v>
      </c>
      <c r="D22" s="19"/>
      <c r="E22" s="18"/>
      <c r="F22" s="19"/>
      <c r="G22" s="20">
        <f t="shared" si="5"/>
        <v>0</v>
      </c>
      <c r="H22" s="18"/>
      <c r="I22" s="20">
        <f>IF(G22&gt;=0,N22*(100+Instruccions!B33)/100,(N22*2/3)*(100+Instruccions!B33)/100)</f>
        <v>0</v>
      </c>
      <c r="J22" s="20">
        <f t="shared" si="6"/>
        <v>0</v>
      </c>
      <c r="K22" s="55"/>
      <c r="L22" s="39">
        <f>(ABS(G22)/Instruccions!B31*60)</f>
        <v>0</v>
      </c>
      <c r="M22" s="40">
        <f>(H22/Instruccions!B32*60)</f>
        <v>0</v>
      </c>
      <c r="N22" s="40">
        <f t="shared" si="2"/>
        <v>0</v>
      </c>
      <c r="O22" s="41" t="e">
        <f t="shared" si="3"/>
        <v>#N/A</v>
      </c>
    </row>
    <row r="23" spans="2:15" ht="19.5" customHeight="1">
      <c r="B23" s="15">
        <f t="shared" si="4"/>
      </c>
      <c r="C23" s="16">
        <f t="shared" si="7"/>
        <v>0</v>
      </c>
      <c r="D23" s="19"/>
      <c r="E23" s="18"/>
      <c r="F23" s="19"/>
      <c r="G23" s="20">
        <f t="shared" si="5"/>
        <v>0</v>
      </c>
      <c r="H23" s="18"/>
      <c r="I23" s="20">
        <f>IF(G23&gt;=0,N23*(100+Instruccions!B33)/100,(N23*2/3)*(100+Instruccions!B33)/100)</f>
        <v>0</v>
      </c>
      <c r="J23" s="20">
        <f t="shared" si="6"/>
        <v>0</v>
      </c>
      <c r="K23" s="55"/>
      <c r="L23" s="39">
        <f>(ABS(G23)/Instruccions!B31*60)</f>
        <v>0</v>
      </c>
      <c r="M23" s="40">
        <f>(H23/Instruccions!B32*60)</f>
        <v>0</v>
      </c>
      <c r="N23" s="40">
        <f t="shared" si="2"/>
        <v>0</v>
      </c>
      <c r="O23" s="41" t="e">
        <f t="shared" si="3"/>
        <v>#N/A</v>
      </c>
    </row>
    <row r="24" spans="2:15" ht="19.5" customHeight="1">
      <c r="B24" s="15">
        <f t="shared" si="4"/>
      </c>
      <c r="C24" s="16">
        <f t="shared" si="7"/>
        <v>0</v>
      </c>
      <c r="D24" s="19"/>
      <c r="E24" s="18"/>
      <c r="F24" s="19"/>
      <c r="G24" s="20">
        <f t="shared" si="5"/>
        <v>0</v>
      </c>
      <c r="H24" s="18">
        <v>0</v>
      </c>
      <c r="I24" s="20">
        <f>IF(G24&gt;=0,N24*(100+Instruccions!B33)/100,(N24*2/3)*(100+Instruccions!B33)/100)</f>
        <v>0</v>
      </c>
      <c r="J24" s="20">
        <f t="shared" si="6"/>
        <v>0</v>
      </c>
      <c r="K24" s="55"/>
      <c r="L24" s="39">
        <f>(ABS(G24)/Instruccions!B31*60)</f>
        <v>0</v>
      </c>
      <c r="M24" s="40">
        <f>(H24/Instruccions!B32*60)</f>
        <v>0</v>
      </c>
      <c r="N24" s="40">
        <f t="shared" si="2"/>
        <v>0</v>
      </c>
      <c r="O24" s="41" t="e">
        <f t="shared" si="3"/>
        <v>#N/A</v>
      </c>
    </row>
    <row r="25" spans="2:15" ht="19.5" customHeight="1" thickBot="1">
      <c r="B25" s="21">
        <f t="shared" si="4"/>
      </c>
      <c r="C25" s="22">
        <f t="shared" si="7"/>
        <v>0</v>
      </c>
      <c r="D25" s="23"/>
      <c r="E25" s="23"/>
      <c r="F25" s="24"/>
      <c r="G25" s="25">
        <f t="shared" si="5"/>
        <v>0</v>
      </c>
      <c r="H25" s="23">
        <v>0</v>
      </c>
      <c r="I25" s="25">
        <f>IF(G25&gt;=0,N25*(100+Instruccions!B33)/100,(N25*2/3)*(100+Instruccions!B33)/100)</f>
        <v>0</v>
      </c>
      <c r="J25" s="25">
        <f t="shared" si="6"/>
        <v>0</v>
      </c>
      <c r="K25" s="56"/>
      <c r="L25" s="44">
        <f>(ABS(G25)/Instruccions!B31*60)</f>
        <v>0</v>
      </c>
      <c r="M25" s="42">
        <f>(H25/Instruccions!B32*60)</f>
        <v>0</v>
      </c>
      <c r="N25" s="42">
        <f t="shared" si="2"/>
        <v>0</v>
      </c>
      <c r="O25" s="43" t="e">
        <f t="shared" si="3"/>
        <v>#N/A</v>
      </c>
    </row>
    <row r="26" ht="11.25" customHeight="1" thickBot="1" thickTop="1"/>
    <row r="27" spans="2:4" ht="15" customHeight="1" thickTop="1">
      <c r="B27" s="28" t="s">
        <v>16</v>
      </c>
      <c r="C27" s="29">
        <f>SUM(H6:H26)</f>
        <v>16250</v>
      </c>
      <c r="D27" s="30"/>
    </row>
    <row r="28" spans="2:4" ht="19.5" customHeight="1">
      <c r="B28" s="8" t="s">
        <v>17</v>
      </c>
      <c r="C28" s="6">
        <f>SUM(I6:I26)</f>
        <v>609.38</v>
      </c>
      <c r="D28" s="31">
        <f>C28/60</f>
        <v>10.156333333333333</v>
      </c>
    </row>
    <row r="29" spans="2:4" ht="19.5" customHeight="1">
      <c r="B29" s="8" t="s">
        <v>18</v>
      </c>
      <c r="C29" s="6">
        <f>SUMIF(G6:G26,"&gt;0",G6:G26)</f>
        <v>1538</v>
      </c>
      <c r="D29" s="32"/>
    </row>
    <row r="30" spans="2:4" ht="19.5" customHeight="1" thickBot="1">
      <c r="B30" s="9" t="s">
        <v>19</v>
      </c>
      <c r="C30" s="7">
        <f>SUMIF(G6:G26,"&lt;0",G6:G26)</f>
        <v>-1428</v>
      </c>
      <c r="D30" s="33"/>
    </row>
    <row r="31" ht="19.5" customHeight="1" thickTop="1"/>
    <row r="32" ht="19.5" customHeight="1"/>
  </sheetData>
  <sheetProtection password="95E1" sheet="1" objects="1" scenarios="1"/>
  <mergeCells count="2">
    <mergeCell ref="B1:K1"/>
    <mergeCell ref="C3:I3"/>
  </mergeCells>
  <conditionalFormatting sqref="D25 E6:E25 O6:O24 H6:H25 L6:N25 C6">
    <cfRule type="cellIs" priority="1" dxfId="0" operator="equal" stopIfTrue="1">
      <formula>0</formula>
    </cfRule>
  </conditionalFormatting>
  <conditionalFormatting sqref="I6:J25 G6:G25">
    <cfRule type="cellIs" priority="2" dxfId="1" operator="equal" stopIfTrue="1">
      <formula>0</formula>
    </cfRule>
  </conditionalFormatting>
  <conditionalFormatting sqref="C7:C25 B7:B15 B17:B25">
    <cfRule type="cellIs" priority="3" dxfId="1" operator="equal" stopIfTrue="1">
      <formula>0</formula>
    </cfRule>
    <cfRule type="cellIs" priority="4" dxfId="2" operator="equal" stopIfTrue="1">
      <formula>0</formula>
    </cfRule>
  </conditionalFormatting>
  <conditionalFormatting sqref="B16">
    <cfRule type="expression" priority="5" dxfId="1" stopIfTrue="1">
      <formula>""</formula>
    </cfRule>
  </conditionalFormatting>
  <printOptions horizontalCentered="1" verticalCentered="1"/>
  <pageMargins left="0.31496062992125984"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10">
      <selection activeCell="A24" sqref="A24"/>
    </sheetView>
  </sheetViews>
  <sheetFormatPr defaultColWidth="11.421875" defaultRowHeight="12.75"/>
  <cols>
    <col min="1" max="1" width="32.28125" style="46" customWidth="1"/>
    <col min="2" max="2" width="22.7109375" style="46" customWidth="1"/>
    <col min="3" max="3" width="24.28125" style="46" customWidth="1"/>
    <col min="4" max="16384" width="11.421875" style="46" customWidth="1"/>
  </cols>
  <sheetData>
    <row r="3" ht="18.75">
      <c r="A3" s="45" t="s">
        <v>25</v>
      </c>
    </row>
    <row r="5" spans="1:7" ht="15">
      <c r="A5" s="46" t="s">
        <v>28</v>
      </c>
      <c r="G5" s="47"/>
    </row>
    <row r="7" ht="15">
      <c r="A7" s="47" t="s">
        <v>30</v>
      </c>
    </row>
    <row r="9" ht="13.5">
      <c r="A9" s="46" t="s">
        <v>26</v>
      </c>
    </row>
    <row r="10" spans="1:3" ht="13.5">
      <c r="A10" s="46" t="s">
        <v>27</v>
      </c>
      <c r="C10" s="48"/>
    </row>
    <row r="11" ht="13.5">
      <c r="A11" s="46" t="s">
        <v>29</v>
      </c>
    </row>
    <row r="12" ht="13.5">
      <c r="A12" s="46" t="s">
        <v>35</v>
      </c>
    </row>
    <row r="14" ht="13.5">
      <c r="A14" s="49" t="s">
        <v>38</v>
      </c>
    </row>
    <row r="16" ht="13.5">
      <c r="A16" s="46" t="s">
        <v>40</v>
      </c>
    </row>
    <row r="17" ht="13.5">
      <c r="A17" s="46" t="s">
        <v>43</v>
      </c>
    </row>
    <row r="18" ht="13.5">
      <c r="A18" s="46" t="s">
        <v>41</v>
      </c>
    </row>
    <row r="19" ht="13.5">
      <c r="A19" s="46" t="s">
        <v>42</v>
      </c>
    </row>
    <row r="20" ht="13.5">
      <c r="A20" s="46" t="s">
        <v>44</v>
      </c>
    </row>
    <row r="21" ht="13.5">
      <c r="A21" s="46" t="s">
        <v>45</v>
      </c>
    </row>
    <row r="22" ht="13.5">
      <c r="A22" s="46" t="s">
        <v>46</v>
      </c>
    </row>
    <row r="23" ht="13.5">
      <c r="A23" s="46" t="s">
        <v>50</v>
      </c>
    </row>
    <row r="24" ht="13.5">
      <c r="A24" s="46" t="s">
        <v>51</v>
      </c>
    </row>
    <row r="25" ht="13.5">
      <c r="A25" s="46" t="s">
        <v>47</v>
      </c>
    </row>
    <row r="27" ht="13.5">
      <c r="A27" s="46" t="s">
        <v>39</v>
      </c>
    </row>
    <row r="28" ht="13.5">
      <c r="A28" s="49" t="s">
        <v>36</v>
      </c>
    </row>
    <row r="29" ht="15">
      <c r="A29" s="47"/>
    </row>
    <row r="30" spans="1:3" ht="13.5">
      <c r="A30" s="50"/>
      <c r="B30" s="50" t="s">
        <v>23</v>
      </c>
      <c r="C30" s="50" t="s">
        <v>24</v>
      </c>
    </row>
    <row r="31" spans="1:3" ht="13.5">
      <c r="A31" s="50" t="s">
        <v>8</v>
      </c>
      <c r="B31" s="52">
        <v>400</v>
      </c>
      <c r="C31" s="48">
        <v>300</v>
      </c>
    </row>
    <row r="32" spans="1:3" ht="13.5">
      <c r="A32" s="50" t="s">
        <v>9</v>
      </c>
      <c r="B32" s="52">
        <v>5000</v>
      </c>
      <c r="C32" s="48">
        <v>4000</v>
      </c>
    </row>
    <row r="33" spans="1:3" ht="13.5">
      <c r="A33" s="50" t="s">
        <v>10</v>
      </c>
      <c r="B33" s="52">
        <v>30</v>
      </c>
      <c r="C33" s="48">
        <v>30</v>
      </c>
    </row>
    <row r="35" spans="1:6" ht="15">
      <c r="A35" s="49" t="s">
        <v>37</v>
      </c>
      <c r="F35" s="51"/>
    </row>
    <row r="36" spans="1:6" ht="15">
      <c r="A36" s="49"/>
      <c r="F36" s="51"/>
    </row>
    <row r="37" spans="1:6" ht="15">
      <c r="A37" s="46" t="s">
        <v>12</v>
      </c>
      <c r="F37" s="51"/>
    </row>
    <row r="38" spans="1:6" ht="15">
      <c r="A38" s="46" t="s">
        <v>13</v>
      </c>
      <c r="F38" s="51"/>
    </row>
    <row r="39" spans="1:6" ht="15">
      <c r="A39" s="46" t="s">
        <v>14</v>
      </c>
      <c r="F39" s="51"/>
    </row>
    <row r="40" ht="13.5">
      <c r="A40" s="46" t="s">
        <v>15</v>
      </c>
    </row>
    <row r="42" ht="15">
      <c r="A42" s="47" t="s">
        <v>31</v>
      </c>
    </row>
    <row r="44" ht="13.5">
      <c r="A44" s="46" t="s">
        <v>32</v>
      </c>
    </row>
    <row r="45" ht="13.5">
      <c r="A45" s="46" t="s">
        <v>33</v>
      </c>
    </row>
    <row r="46" ht="13.5">
      <c r="A46" s="46"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2004-07-05T21:08:31Z</cp:lastPrinted>
  <dcterms:created xsi:type="dcterms:W3CDTF">2004-05-05T18:52:05Z</dcterms:created>
  <dcterms:modified xsi:type="dcterms:W3CDTF">2005-08-23T20:40:30Z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