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<sst xmlns="http://schemas.openxmlformats.org/spreadsheetml/2006/main" count="77" uniqueCount="74">
  <si>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</si>
  <si>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</si>
  <si>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</si>
  <si>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</si>
  <si>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</si>
  <si>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</si>
  <si>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</si>
  <si>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</si>
  <si>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</si>
  <si>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</si>
  <si>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</si>
  <si>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</si>
  <si>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</si>
  <si>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</si>
  <si>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</si>
  <si>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</si>
  <si>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</si>
  <si>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</si>
  <si>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</si>
  <si>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</si>
  <si>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</si>
  <si>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</si>
  <si>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</si>
  <si>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</si>
  <si>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</si>
  <si>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</si>
  <si>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</si>
  <si>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</si>
  <si>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</si>
  <si>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</si>
  <si>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</si>
  <si>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</si>
  <si>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</si>
  <si>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</si>
  <si>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</si>
  <si>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</si>
  <si>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</si>
  <si>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</si>
  <si>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</si>
  <si>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</si>
  <si>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</si>
  <si>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</si>
  <si>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</si>
  <si>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</si>
  <si>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</si>
  <si>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</si>
  <si>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</si>
  <si>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</si>
  <si>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</si>
  <si>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</si>
  <si>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</si>
  <si>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</si>
  <si>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</si>
  <si>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Urdax</t>
  </si>
  <si>
    <t>Zugarramurdi</t>
  </si>
  <si>
    <t>col urbia</t>
  </si>
  <si>
    <t>seguint pista cap al sud</t>
  </si>
  <si>
    <t>col des trois bornes</t>
  </si>
  <si>
    <t>col de Narbarlatz</t>
  </si>
  <si>
    <t>col de Lizarrieta</t>
  </si>
  <si>
    <t>col de Lizuniaga</t>
  </si>
  <si>
    <t>Pico Larrun</t>
  </si>
  <si>
    <t>col Inzola</t>
  </si>
  <si>
    <t>col Sisquil</t>
  </si>
  <si>
    <t>seguim pista</t>
  </si>
  <si>
    <t>seguim pista coincideix GR-11</t>
  </si>
  <si>
    <t>el camí baixa a l'esquerre i llavors torna a pujar fins pista HRP</t>
  </si>
  <si>
    <t>anem carenant tot seguint frontera</t>
  </si>
  <si>
    <t>seguim pista dreta</t>
  </si>
  <si>
    <t>ETAPA 41: URDAX - COL IBARDIN</t>
  </si>
  <si>
    <t>col Ibardin (Final)</t>
  </si>
  <si>
    <t>seguint carretera cap al Nord. No fem aquest tros</t>
  </si>
  <si>
    <t>---</t>
  </si>
  <si>
    <t>camí a la dreta PR-90? Direcció Etxalar des d'Ibaineta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</si>
</sst>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3400</c:v>
                </c:pt>
                <c:pt idx="2">
                  <c:v>5000</c:v>
                </c:pt>
                <c:pt idx="3">
                  <c:v>7600</c:v>
                </c:pt>
                <c:pt idx="4">
                  <c:v>10000</c:v>
                </c:pt>
                <c:pt idx="5">
                  <c:v>12400</c:v>
                </c:pt>
                <c:pt idx="6">
                  <c:v>14800</c:v>
                </c:pt>
                <c:pt idx="7">
                  <c:v>18400</c:v>
                </c:pt>
                <c:pt idx="8">
                  <c:v>19600</c:v>
                </c:pt>
                <c:pt idx="9">
                  <c:v>22400</c:v>
                </c:pt>
                <c:pt idx="10">
                  <c:v>23800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90</c:v>
                </c:pt>
                <c:pt idx="1">
                  <c:v>200</c:v>
                </c:pt>
                <c:pt idx="2">
                  <c:v>431</c:v>
                </c:pt>
                <c:pt idx="3">
                  <c:v>521</c:v>
                </c:pt>
                <c:pt idx="4">
                  <c:v>477</c:v>
                </c:pt>
                <c:pt idx="5">
                  <c:v>441</c:v>
                </c:pt>
                <c:pt idx="6">
                  <c:v>244</c:v>
                </c:pt>
                <c:pt idx="7">
                  <c:v>900</c:v>
                </c:pt>
                <c:pt idx="8">
                  <c:v>670</c:v>
                </c:pt>
                <c:pt idx="9">
                  <c:v>270</c:v>
                </c:pt>
                <c:pt idx="10">
                  <c:v>317</c:v>
                </c:pt>
              </c:numCache>
            </c:numRef>
          </c:yVal>
          <c:smooth val="1"/>
        </c:ser>
        <c:axId val="10245727"/>
        <c:axId val="25102680"/>
      </c:scatterChart>
      <c:val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crossBetween val="midCat"/>
        <c:dispUnits/>
      </c:val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45727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104775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D10" sqref="D10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29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69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Urdax</v>
      </c>
      <c r="E6" s="56">
        <f>C7</f>
        <v>90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90</v>
      </c>
      <c r="D7" s="11" t="s">
        <v>54</v>
      </c>
      <c r="E7" s="12">
        <v>200</v>
      </c>
      <c r="F7" s="13">
        <v>272</v>
      </c>
      <c r="G7" s="14">
        <f>E7-C7</f>
        <v>110</v>
      </c>
      <c r="H7" s="12">
        <v>3400</v>
      </c>
      <c r="I7" s="14">
        <f>IF(G7&gt;=0,O7*(100+Instruccions!B33)/100,(O7*2/3)*(100+Instruccions!B33)/100)</f>
        <v>65.29714285714286</v>
      </c>
      <c r="J7" s="14">
        <f>I7</f>
        <v>65.29714285714286</v>
      </c>
      <c r="K7" s="61" t="s">
        <v>72</v>
      </c>
      <c r="L7" s="15" t="s">
        <v>71</v>
      </c>
      <c r="M7" s="42">
        <f>(ABS(G7)/Instruccions!B31*60)</f>
        <v>18.857142857142858</v>
      </c>
      <c r="N7" s="43">
        <f>(H7/Instruccions!B32*60)</f>
        <v>40.800000000000004</v>
      </c>
      <c r="O7" s="43">
        <f>IF(M7&gt;=N7,M7+(N7/2),N7+(M7/2))</f>
        <v>50.228571428571435</v>
      </c>
      <c r="P7" s="44">
        <f>H7</f>
        <v>3400</v>
      </c>
    </row>
    <row r="8" spans="2:16" ht="19.5" customHeight="1">
      <c r="B8" s="16" t="str">
        <f>IF(D7="","",IF(ISERROR(SEARCH("Final",D7))=TRUE,D7,""))</f>
        <v>Zugarramurdi</v>
      </c>
      <c r="C8" s="17">
        <f aca="true" t="shared" si="0" ref="C8:C16">IF(B8="",0,E7)</f>
        <v>200</v>
      </c>
      <c r="D8" s="11" t="s">
        <v>55</v>
      </c>
      <c r="E8" s="12">
        <v>431</v>
      </c>
      <c r="F8" s="13">
        <v>184</v>
      </c>
      <c r="G8" s="14">
        <f>E8-C8</f>
        <v>231</v>
      </c>
      <c r="H8" s="12">
        <v>1600</v>
      </c>
      <c r="I8" s="14">
        <f>IF(G8&gt;=0,O8*(100+Instruccions!B34)/100,(O8*2/3)*(100+Instruccions!B34)/100)</f>
        <v>49.2</v>
      </c>
      <c r="J8" s="21">
        <f aca="true" t="shared" si="1" ref="J8:J26">IF(I8=0,0,I8+J7)</f>
        <v>114.49714285714286</v>
      </c>
      <c r="K8" s="19">
        <v>35</v>
      </c>
      <c r="L8" s="15" t="s">
        <v>56</v>
      </c>
      <c r="M8" s="42">
        <f>(ABS(G8)/Instruccions!B31*60)</f>
        <v>39.6</v>
      </c>
      <c r="N8" s="43">
        <f>(H8/Instruccions!B32*60)</f>
        <v>19.2</v>
      </c>
      <c r="O8" s="43">
        <f aca="true" t="shared" si="2" ref="O8:O26">IF(M8&gt;=N8,M8+(N8/2),N8+(M8/2))</f>
        <v>49.2</v>
      </c>
      <c r="P8" s="44">
        <f aca="true" t="shared" si="3" ref="P8:P26">IF(H8=0,NA(),H8+P7)</f>
        <v>5000</v>
      </c>
    </row>
    <row r="9" spans="2:16" ht="19.5" customHeight="1">
      <c r="B9" s="16" t="str">
        <f aca="true" t="shared" si="4" ref="B9:B26">IF(D8="","",IF(ISERROR(SEARCH("Final",D8))=TRUE,D8,""))</f>
        <v>col urbia</v>
      </c>
      <c r="C9" s="17">
        <f t="shared" si="0"/>
        <v>431</v>
      </c>
      <c r="D9" s="18" t="s">
        <v>57</v>
      </c>
      <c r="E9" s="19">
        <v>521</v>
      </c>
      <c r="F9" s="20">
        <v>252</v>
      </c>
      <c r="G9" s="21">
        <f aca="true" t="shared" si="5" ref="G9:G26">E9-C9</f>
        <v>90</v>
      </c>
      <c r="H9" s="19">
        <v>2600</v>
      </c>
      <c r="I9" s="21">
        <f>IF(G9&gt;=0,O9*(100+Instruccions!B33)/100,(O9*2/3)*(100+Instruccions!B33)/100)</f>
        <v>50.588571428571434</v>
      </c>
      <c r="J9" s="21">
        <f t="shared" si="1"/>
        <v>165.0857142857143</v>
      </c>
      <c r="K9" s="19">
        <v>150</v>
      </c>
      <c r="L9" s="22" t="s">
        <v>73</v>
      </c>
      <c r="M9" s="42">
        <f>(ABS(G9)/Instruccions!B31*60)</f>
        <v>15.428571428571427</v>
      </c>
      <c r="N9" s="43">
        <f>(H9/Instruccions!B32*60)</f>
        <v>31.200000000000003</v>
      </c>
      <c r="O9" s="43">
        <f t="shared" si="2"/>
        <v>38.91428571428572</v>
      </c>
      <c r="P9" s="44">
        <f t="shared" si="3"/>
        <v>7600</v>
      </c>
    </row>
    <row r="10" spans="2:16" ht="19.5" customHeight="1">
      <c r="B10" s="16" t="str">
        <f t="shared" si="4"/>
        <v>col des trois bornes</v>
      </c>
      <c r="C10" s="17">
        <f t="shared" si="0"/>
        <v>521</v>
      </c>
      <c r="D10" s="18" t="s">
        <v>58</v>
      </c>
      <c r="E10" s="19">
        <v>477</v>
      </c>
      <c r="F10" s="20">
        <v>280</v>
      </c>
      <c r="G10" s="21">
        <f t="shared" si="5"/>
        <v>-44</v>
      </c>
      <c r="H10" s="19">
        <v>2400</v>
      </c>
      <c r="I10" s="21">
        <f>IF(G10&gt;=0,O10*(100+Instruccions!B33)/100,(O10*2/3)*(100+Instruccions!B33)/100)</f>
        <v>28.228571428571428</v>
      </c>
      <c r="J10" s="21">
        <f t="shared" si="1"/>
        <v>193.31428571428572</v>
      </c>
      <c r="K10" s="19">
        <v>210</v>
      </c>
      <c r="L10" s="22"/>
      <c r="M10" s="42">
        <f>(ABS(G10)/Instruccions!B31*60)</f>
        <v>7.542857142857144</v>
      </c>
      <c r="N10" s="43">
        <f>(H10/Instruccions!B32*60)</f>
        <v>28.799999999999997</v>
      </c>
      <c r="O10" s="43">
        <f t="shared" si="2"/>
        <v>32.57142857142857</v>
      </c>
      <c r="P10" s="44">
        <f t="shared" si="3"/>
        <v>10000</v>
      </c>
    </row>
    <row r="11" spans="2:16" ht="19.5" customHeight="1">
      <c r="B11" s="16" t="str">
        <f t="shared" si="4"/>
        <v>col de Narbarlatz</v>
      </c>
      <c r="C11" s="17">
        <f t="shared" si="0"/>
        <v>477</v>
      </c>
      <c r="D11" s="18" t="s">
        <v>59</v>
      </c>
      <c r="E11" s="19">
        <v>441</v>
      </c>
      <c r="F11" s="20">
        <v>300</v>
      </c>
      <c r="G11" s="21">
        <f t="shared" si="5"/>
        <v>-36</v>
      </c>
      <c r="H11" s="19">
        <v>2400</v>
      </c>
      <c r="I11" s="21">
        <f>IF(G11&gt;=0,O11*(100+Instruccions!B33)/100,(O11*2/3)*(100+Instruccions!B33)/100)</f>
        <v>27.63428571428571</v>
      </c>
      <c r="J11" s="21">
        <f t="shared" si="1"/>
        <v>220.94857142857143</v>
      </c>
      <c r="K11" s="19">
        <v>260</v>
      </c>
      <c r="L11" s="22" t="s">
        <v>65</v>
      </c>
      <c r="M11" s="42">
        <f>(ABS(G11)/Instruccions!B31*60)</f>
        <v>6.171428571428572</v>
      </c>
      <c r="N11" s="43">
        <f>(H11/Instruccions!B32*60)</f>
        <v>28.799999999999997</v>
      </c>
      <c r="O11" s="43">
        <f t="shared" si="2"/>
        <v>31.885714285714283</v>
      </c>
      <c r="P11" s="44">
        <f t="shared" si="3"/>
        <v>12400</v>
      </c>
    </row>
    <row r="12" spans="2:16" ht="19.5" customHeight="1">
      <c r="B12" s="16" t="str">
        <f t="shared" si="4"/>
        <v>col de Lizarrieta</v>
      </c>
      <c r="C12" s="17">
        <f t="shared" si="0"/>
        <v>441</v>
      </c>
      <c r="D12" s="18" t="s">
        <v>60</v>
      </c>
      <c r="E12" s="19">
        <v>244</v>
      </c>
      <c r="F12" s="20">
        <v>342</v>
      </c>
      <c r="G12" s="21">
        <f t="shared" si="5"/>
        <v>-197</v>
      </c>
      <c r="H12" s="19">
        <v>2400</v>
      </c>
      <c r="I12" s="21">
        <f>IF(G12&gt;=0,O12*(100+Instruccions!B33)/100,(O12*2/3)*(100+Instruccions!B33)/100)</f>
        <v>41.74857142857143</v>
      </c>
      <c r="J12" s="21">
        <f t="shared" si="1"/>
        <v>262.69714285714286</v>
      </c>
      <c r="K12" s="19">
        <v>370</v>
      </c>
      <c r="L12" s="22" t="s">
        <v>66</v>
      </c>
      <c r="M12" s="42">
        <f>(ABS(G12)/Instruccions!B31*60)</f>
        <v>33.77142857142857</v>
      </c>
      <c r="N12" s="43">
        <f>(H12/Instruccions!B32*60)</f>
        <v>28.799999999999997</v>
      </c>
      <c r="O12" s="43">
        <f t="shared" si="2"/>
        <v>48.17142857142857</v>
      </c>
      <c r="P12" s="44">
        <f t="shared" si="3"/>
        <v>14800</v>
      </c>
    </row>
    <row r="13" spans="2:16" ht="19.5" customHeight="1">
      <c r="B13" s="16" t="str">
        <f t="shared" si="4"/>
        <v>col de Lizuniaga</v>
      </c>
      <c r="C13" s="17">
        <f t="shared" si="0"/>
        <v>244</v>
      </c>
      <c r="D13" s="18" t="s">
        <v>61</v>
      </c>
      <c r="E13" s="19">
        <v>900</v>
      </c>
      <c r="F13" s="20">
        <v>350</v>
      </c>
      <c r="G13" s="21">
        <f t="shared" si="5"/>
        <v>656</v>
      </c>
      <c r="H13" s="19">
        <v>3600</v>
      </c>
      <c r="I13" s="21">
        <f>IF(G13&gt;=0,O13*(100+Instruccions!B33)/100,(O13*2/3)*(100+Instruccions!B33)/100)</f>
        <v>174.2742857142857</v>
      </c>
      <c r="J13" s="21">
        <f t="shared" si="1"/>
        <v>436.97142857142853</v>
      </c>
      <c r="K13" s="19">
        <v>540</v>
      </c>
      <c r="L13" s="22" t="s">
        <v>67</v>
      </c>
      <c r="M13" s="42">
        <f>(ABS(G13)/Instruccions!B31*60)</f>
        <v>112.45714285714286</v>
      </c>
      <c r="N13" s="43">
        <f>(H13/Instruccions!B32*60)</f>
        <v>43.199999999999996</v>
      </c>
      <c r="O13" s="43">
        <f t="shared" si="2"/>
        <v>134.05714285714285</v>
      </c>
      <c r="P13" s="44">
        <f t="shared" si="3"/>
        <v>18400</v>
      </c>
    </row>
    <row r="14" spans="2:16" ht="19.5" customHeight="1">
      <c r="B14" s="16" t="str">
        <f t="shared" si="4"/>
        <v>Pico Larrun</v>
      </c>
      <c r="C14" s="17">
        <f t="shared" si="0"/>
        <v>900</v>
      </c>
      <c r="D14" s="18" t="s">
        <v>63</v>
      </c>
      <c r="E14" s="19">
        <v>670</v>
      </c>
      <c r="F14" s="20">
        <v>232</v>
      </c>
      <c r="G14" s="21">
        <f t="shared" si="5"/>
        <v>-230</v>
      </c>
      <c r="H14" s="19">
        <v>1200</v>
      </c>
      <c r="I14" s="21">
        <f>IF(G14&gt;=0,O14*(100+Instruccions!B33)/100,(O14*2/3)*(100+Instruccions!B33)/100)</f>
        <v>40.41142857142858</v>
      </c>
      <c r="J14" s="21">
        <f t="shared" si="1"/>
        <v>477.3828571428571</v>
      </c>
      <c r="K14" s="19"/>
      <c r="L14" s="22" t="s">
        <v>64</v>
      </c>
      <c r="M14" s="42">
        <f>(ABS(G14)/Instruccions!B31*60)</f>
        <v>39.42857142857143</v>
      </c>
      <c r="N14" s="43">
        <f>(H14/Instruccions!B32*60)</f>
        <v>14.399999999999999</v>
      </c>
      <c r="O14" s="43">
        <f t="shared" si="2"/>
        <v>46.62857142857143</v>
      </c>
      <c r="P14" s="44">
        <f t="shared" si="3"/>
        <v>19600</v>
      </c>
    </row>
    <row r="15" spans="2:16" ht="19.5" customHeight="1">
      <c r="B15" s="16" t="str">
        <f t="shared" si="4"/>
        <v>col Sisquil</v>
      </c>
      <c r="C15" s="17">
        <f t="shared" si="0"/>
        <v>670</v>
      </c>
      <c r="D15" s="18" t="s">
        <v>62</v>
      </c>
      <c r="E15" s="19">
        <v>270</v>
      </c>
      <c r="F15" s="20">
        <v>252</v>
      </c>
      <c r="G15" s="21">
        <f t="shared" si="5"/>
        <v>-400</v>
      </c>
      <c r="H15" s="19">
        <v>2800</v>
      </c>
      <c r="I15" s="21">
        <f>IF(G15&gt;=0,O15*(100+Instruccions!B33)/100,(O15*2/3)*(100+Instruccions!B33)/100)</f>
        <v>73.98857142857142</v>
      </c>
      <c r="J15" s="21">
        <f t="shared" si="1"/>
        <v>551.3714285714285</v>
      </c>
      <c r="K15" s="19"/>
      <c r="L15" s="22" t="s">
        <v>64</v>
      </c>
      <c r="M15" s="42">
        <f>(ABS(G15)/Instruccions!B31*60)</f>
        <v>68.57142857142857</v>
      </c>
      <c r="N15" s="43">
        <f>(H15/Instruccions!B32*60)</f>
        <v>33.6</v>
      </c>
      <c r="O15" s="43">
        <f t="shared" si="2"/>
        <v>85.37142857142857</v>
      </c>
      <c r="P15" s="44">
        <f t="shared" si="3"/>
        <v>22400</v>
      </c>
    </row>
    <row r="16" spans="2:16" ht="19.5" customHeight="1">
      <c r="B16" s="16" t="str">
        <f t="shared" si="4"/>
        <v>col Inzola</v>
      </c>
      <c r="C16" s="17">
        <f t="shared" si="0"/>
        <v>270</v>
      </c>
      <c r="D16" s="18" t="s">
        <v>70</v>
      </c>
      <c r="E16" s="19">
        <v>317</v>
      </c>
      <c r="F16" s="20">
        <v>326</v>
      </c>
      <c r="G16" s="21">
        <f t="shared" si="5"/>
        <v>47</v>
      </c>
      <c r="H16" s="19">
        <v>1400</v>
      </c>
      <c r="I16" s="21">
        <f>IF(G16&gt;=0,O16*(100+Instruccions!B33)/100,(O16*2/3)*(100+Instruccions!B33)/100)</f>
        <v>27.077142857142857</v>
      </c>
      <c r="J16" s="21">
        <f t="shared" si="1"/>
        <v>578.4485714285713</v>
      </c>
      <c r="K16" s="19">
        <v>690</v>
      </c>
      <c r="L16" s="22" t="s">
        <v>68</v>
      </c>
      <c r="M16" s="42">
        <f>(ABS(G16)/Instruccions!B31*60)</f>
        <v>8.057142857142857</v>
      </c>
      <c r="N16" s="43">
        <f>(H16/Instruccions!B32*60)</f>
        <v>16.8</v>
      </c>
      <c r="O16" s="43">
        <f t="shared" si="2"/>
        <v>20.82857142857143</v>
      </c>
      <c r="P16" s="44">
        <f t="shared" si="3"/>
        <v>23800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23800</v>
      </c>
      <c r="D28" s="33"/>
    </row>
    <row r="29" spans="2:4" ht="19.5" customHeight="1">
      <c r="B29" s="8" t="s">
        <v>17</v>
      </c>
      <c r="C29" s="6">
        <f>SUM(I7:I27)</f>
        <v>578.4485714285713</v>
      </c>
      <c r="D29" s="34">
        <f>C29/60</f>
        <v>9.640809523809521</v>
      </c>
    </row>
    <row r="30" spans="2:4" ht="19.5" customHeight="1">
      <c r="B30" s="8" t="s">
        <v>18</v>
      </c>
      <c r="C30" s="6">
        <f>SUMIF(G7:G27,"&gt;0",G7:G27)</f>
        <v>1134</v>
      </c>
      <c r="D30" s="35"/>
    </row>
    <row r="31" spans="2:4" ht="19.5" customHeight="1" thickBot="1">
      <c r="B31" s="9" t="s">
        <v>19</v>
      </c>
      <c r="C31" s="7">
        <f>SUMIF(G7:G27,"&lt;0",G7:G27)</f>
        <v>-907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K7:K26 P7:P25 H7:H26 M7:O26 C7 E7:E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2005-06-05T13:49:26Z</cp:lastPrinted>
  <dcterms:created xsi:type="dcterms:W3CDTF">2004-05-05T18:52:05Z</dcterms:created>
  <dcterms:modified xsi:type="dcterms:W3CDTF">2005-07-03T08:27:05Z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