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<sst xmlns="http://schemas.openxmlformats.org/spreadsheetml/2006/main" count="62" uniqueCount="60">
  <si>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</si>
  <si>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</si>
  <si>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</si>
  <si>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</si>
  <si>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</si>
  <si>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</si>
  <si>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</si>
  <si>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</si>
  <si>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</si>
  <si>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</si>
  <si>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</si>
  <si>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</si>
  <si>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</si>
  <si>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</si>
  <si>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</si>
  <si>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</si>
  <si>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</si>
  <si>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</si>
  <si>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</si>
  <si>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</si>
  <si>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</si>
  <si>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</si>
  <si>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</si>
  <si>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</si>
  <si>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</si>
  <si>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</si>
  <si>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</si>
  <si>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</si>
  <si>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</si>
  <si>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</si>
  <si>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</si>
  <si>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</si>
  <si>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</si>
  <si>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</si>
  <si>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</si>
  <si>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</si>
  <si>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</si>
  <si>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</si>
  <si>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</si>
  <si>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</si>
  <si>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</si>
  <si>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</si>
  <si>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</si>
  <si>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</si>
  <si>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</si>
  <si>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</si>
  <si>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</si>
  <si>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</si>
  <si>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</si>
  <si>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</si>
  <si>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</si>
  <si>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</si>
  <si>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</si>
  <si>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ETAPA 42: COL IBARDIN - HENDAIA</t>
  </si>
  <si>
    <t>Col Ibardin</t>
  </si>
  <si>
    <t>prop Mandale</t>
  </si>
  <si>
    <t>col du Poiriers</t>
  </si>
  <si>
    <t>Biriatou</t>
  </si>
  <si>
    <t>platja Hendaia (final)</t>
  </si>
  <si>
    <t>seguim GR-10 fins a Hendaia. El camí surt de l'última venta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</si>
</sst>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1625</c:v>
                </c:pt>
                <c:pt idx="2">
                  <c:v>3125</c:v>
                </c:pt>
                <c:pt idx="3">
                  <c:v>6125</c:v>
                </c:pt>
                <c:pt idx="4">
                  <c:v>12125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317</c:v>
                </c:pt>
                <c:pt idx="1">
                  <c:v>520</c:v>
                </c:pt>
                <c:pt idx="2">
                  <c:v>310</c:v>
                </c:pt>
                <c:pt idx="3">
                  <c:v>72</c:v>
                </c:pt>
                <c:pt idx="4">
                  <c:v>0</c:v>
                </c:pt>
              </c:numCache>
            </c:numRef>
          </c:yVal>
          <c:smooth val="1"/>
        </c:ser>
        <c:axId val="43095983"/>
        <c:axId val="52319528"/>
      </c:scatterChart>
      <c:valAx>
        <c:axId val="4309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9528"/>
        <c:crosses val="autoZero"/>
        <c:crossBetween val="midCat"/>
        <c:dispUnits/>
      </c:valAx>
      <c:valAx>
        <c:axId val="5231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9598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85725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D8" sqref="D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Col Ibardin</v>
      </c>
      <c r="E6" s="56">
        <f>C7</f>
        <v>317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317</v>
      </c>
      <c r="D7" s="11" t="s">
        <v>55</v>
      </c>
      <c r="E7" s="12">
        <v>520</v>
      </c>
      <c r="F7" s="13">
        <v>272</v>
      </c>
      <c r="G7" s="14">
        <f>E7-C7</f>
        <v>203</v>
      </c>
      <c r="H7" s="12">
        <v>1625</v>
      </c>
      <c r="I7" s="14">
        <f>IF(G7&gt;=0,O7*(100+Instruccions!B33)/100,(O7*2/3)*(100+Instruccions!B33)/100)</f>
        <v>52.25999999999999</v>
      </c>
      <c r="J7" s="14">
        <f>I7</f>
        <v>52.25999999999999</v>
      </c>
      <c r="K7" s="19">
        <v>35</v>
      </c>
      <c r="L7" s="15" t="s">
        <v>59</v>
      </c>
      <c r="M7" s="42">
        <f>(ABS(G7)/Instruccions!B31*60)</f>
        <v>30.449999999999996</v>
      </c>
      <c r="N7" s="43">
        <f>(H7/Instruccions!B32*60)</f>
        <v>19.5</v>
      </c>
      <c r="O7" s="43">
        <f>IF(M7&gt;=N7,M7+(N7/2),N7+(M7/2))</f>
        <v>40.199999999999996</v>
      </c>
      <c r="P7" s="44">
        <f>H7</f>
        <v>1625</v>
      </c>
    </row>
    <row r="8" spans="2:16" ht="19.5" customHeight="1">
      <c r="B8" s="16" t="str">
        <f>IF(D7="","",IF(ISERROR(SEARCH("Final",D7))=TRUE,D7,""))</f>
        <v>prop Mandale</v>
      </c>
      <c r="C8" s="17">
        <f aca="true" t="shared" si="0" ref="C8:C16">IF(B8="",0,E7)</f>
        <v>520</v>
      </c>
      <c r="D8" s="11" t="s">
        <v>56</v>
      </c>
      <c r="E8" s="12">
        <v>310</v>
      </c>
      <c r="F8" s="13">
        <v>305</v>
      </c>
      <c r="G8" s="14">
        <f>E8-C8</f>
        <v>-210</v>
      </c>
      <c r="H8" s="12">
        <v>1500</v>
      </c>
      <c r="I8" s="14">
        <f>IF(G8&gt;=0,O8*(100+Instruccions!B34)/100,(O8*2/3)*(100+Instruccions!B34)/100)</f>
        <v>27</v>
      </c>
      <c r="J8" s="21">
        <f aca="true" t="shared" si="1" ref="J8:J26">IF(I8=0,0,I8+J7)</f>
        <v>79.25999999999999</v>
      </c>
      <c r="K8" s="19">
        <v>65</v>
      </c>
      <c r="L8" s="15"/>
      <c r="M8" s="42">
        <f>(ABS(G8)/Instruccions!B31*60)</f>
        <v>31.5</v>
      </c>
      <c r="N8" s="43">
        <f>(H8/Instruccions!B32*60)</f>
        <v>18</v>
      </c>
      <c r="O8" s="43">
        <f aca="true" t="shared" si="2" ref="O8:O26">IF(M8&gt;=N8,M8+(N8/2),N8+(M8/2))</f>
        <v>40.5</v>
      </c>
      <c r="P8" s="44">
        <f aca="true" t="shared" si="3" ref="P8:P26">IF(H8=0,NA(),H8+P7)</f>
        <v>3125</v>
      </c>
    </row>
    <row r="9" spans="2:16" ht="19.5" customHeight="1">
      <c r="B9" s="16" t="str">
        <f aca="true" t="shared" si="4" ref="B9:B26">IF(D8="","",IF(ISERROR(SEARCH("Final",D8))=TRUE,D8,""))</f>
        <v>col du Poiriers</v>
      </c>
      <c r="C9" s="17">
        <f t="shared" si="0"/>
        <v>310</v>
      </c>
      <c r="D9" s="18" t="s">
        <v>57</v>
      </c>
      <c r="E9" s="19">
        <v>72</v>
      </c>
      <c r="F9" s="20">
        <v>313</v>
      </c>
      <c r="G9" s="21">
        <f aca="true" t="shared" si="5" ref="G9:G26">E9-C9</f>
        <v>-238</v>
      </c>
      <c r="H9" s="19">
        <v>3000</v>
      </c>
      <c r="I9" s="21">
        <f>IF(G9&gt;=0,O9*(100+Instruccions!B33)/100,(O9*2/3)*(100+Instruccions!B33)/100)</f>
        <v>46.67</v>
      </c>
      <c r="J9" s="21">
        <f t="shared" si="1"/>
        <v>125.92999999999999</v>
      </c>
      <c r="K9" s="19">
        <v>160</v>
      </c>
      <c r="L9" s="22"/>
      <c r="M9" s="42">
        <f>(ABS(G9)/Instruccions!B31*60)</f>
        <v>35.699999999999996</v>
      </c>
      <c r="N9" s="43">
        <f>(H9/Instruccions!B32*60)</f>
        <v>36</v>
      </c>
      <c r="O9" s="43">
        <f t="shared" si="2"/>
        <v>53.849999999999994</v>
      </c>
      <c r="P9" s="44">
        <f t="shared" si="3"/>
        <v>6125</v>
      </c>
    </row>
    <row r="10" spans="2:16" ht="19.5" customHeight="1">
      <c r="B10" s="16" t="str">
        <f t="shared" si="4"/>
        <v>Biriatou</v>
      </c>
      <c r="C10" s="17">
        <f t="shared" si="0"/>
        <v>72</v>
      </c>
      <c r="D10" s="18" t="s">
        <v>58</v>
      </c>
      <c r="E10" s="19">
        <v>0</v>
      </c>
      <c r="F10" s="20">
        <v>330</v>
      </c>
      <c r="G10" s="21">
        <f t="shared" si="5"/>
        <v>-72</v>
      </c>
      <c r="H10" s="19">
        <v>6000</v>
      </c>
      <c r="I10" s="21">
        <f>IF(G10&gt;=0,O10*(100+Instruccions!B33)/100,(O10*2/3)*(100+Instruccions!B33)/100)</f>
        <v>67.08</v>
      </c>
      <c r="J10" s="21">
        <f t="shared" si="1"/>
        <v>193.01</v>
      </c>
      <c r="K10" s="19">
        <v>275</v>
      </c>
      <c r="L10" s="22"/>
      <c r="M10" s="42">
        <f>(ABS(G10)/Instruccions!B31*60)</f>
        <v>10.799999999999999</v>
      </c>
      <c r="N10" s="43">
        <f>(H10/Instruccions!B32*60)</f>
        <v>72</v>
      </c>
      <c r="O10" s="43">
        <f t="shared" si="2"/>
        <v>77.4</v>
      </c>
      <c r="P10" s="44">
        <f t="shared" si="3"/>
        <v>12125</v>
      </c>
    </row>
    <row r="11" spans="2:16" ht="19.5" customHeight="1">
      <c r="B11" s="16">
        <f t="shared" si="4"/>
      </c>
      <c r="C11" s="17">
        <f t="shared" si="0"/>
        <v>0</v>
      </c>
      <c r="D11" s="18"/>
      <c r="E11" s="19"/>
      <c r="F11" s="20"/>
      <c r="G11" s="21">
        <f t="shared" si="5"/>
        <v>0</v>
      </c>
      <c r="H11" s="19"/>
      <c r="I11" s="21">
        <f>IF(G11&gt;=0,O11*(100+Instruccions!B33)/100,(O11*2/3)*(100+Instruccions!B33)/100)</f>
        <v>0</v>
      </c>
      <c r="J11" s="21">
        <f t="shared" si="1"/>
        <v>0</v>
      </c>
      <c r="K11" s="19"/>
      <c r="L11" s="22"/>
      <c r="M11" s="42">
        <f>(ABS(G11)/Instruccions!B31*60)</f>
        <v>0</v>
      </c>
      <c r="N11" s="43">
        <f>(H11/Instruccions!B32*60)</f>
        <v>0</v>
      </c>
      <c r="O11" s="43">
        <f t="shared" si="2"/>
        <v>0</v>
      </c>
      <c r="P11" s="44" t="e">
        <f t="shared" si="3"/>
        <v>#N/A</v>
      </c>
    </row>
    <row r="12" spans="2:16" ht="19.5" customHeight="1">
      <c r="B12" s="16">
        <f t="shared" si="4"/>
      </c>
      <c r="C12" s="17">
        <f t="shared" si="0"/>
        <v>0</v>
      </c>
      <c r="D12" s="18"/>
      <c r="E12" s="19"/>
      <c r="F12" s="20"/>
      <c r="G12" s="21">
        <f t="shared" si="5"/>
        <v>0</v>
      </c>
      <c r="H12" s="19"/>
      <c r="I12" s="21">
        <f>IF(G12&gt;=0,O12*(100+Instruccions!B33)/100,(O12*2/3)*(100+Instruccions!B33)/100)</f>
        <v>0</v>
      </c>
      <c r="J12" s="21">
        <f t="shared" si="1"/>
        <v>0</v>
      </c>
      <c r="K12" s="19"/>
      <c r="L12" s="22"/>
      <c r="M12" s="42">
        <f>(ABS(G12)/Instruccions!B31*60)</f>
        <v>0</v>
      </c>
      <c r="N12" s="43">
        <f>(H12/Instruccions!B32*60)</f>
        <v>0</v>
      </c>
      <c r="O12" s="43">
        <f t="shared" si="2"/>
        <v>0</v>
      </c>
      <c r="P12" s="44" t="e">
        <f t="shared" si="3"/>
        <v>#N/A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12125</v>
      </c>
      <c r="D28" s="33"/>
    </row>
    <row r="29" spans="2:4" ht="19.5" customHeight="1">
      <c r="B29" s="8" t="s">
        <v>17</v>
      </c>
      <c r="C29" s="6">
        <f>SUM(I7:I27)</f>
        <v>193.01</v>
      </c>
      <c r="D29" s="34">
        <f>C29/60</f>
        <v>3.216833333333333</v>
      </c>
    </row>
    <row r="30" spans="2:4" ht="19.5" customHeight="1">
      <c r="B30" s="8" t="s">
        <v>18</v>
      </c>
      <c r="C30" s="6">
        <f>SUMIF(G7:G27,"&gt;0",G7:G27)</f>
        <v>203</v>
      </c>
      <c r="D30" s="35"/>
    </row>
    <row r="31" spans="2:4" ht="19.5" customHeight="1" thickBot="1">
      <c r="B31" s="9" t="s">
        <v>19</v>
      </c>
      <c r="C31" s="7">
        <f>SUMIF(G7:G27,"&lt;0",G7:G27)</f>
        <v>-520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24" sqref="A2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2005-06-05T14:21:53Z</cp:lastPrinted>
  <dcterms:created xsi:type="dcterms:W3CDTF">2004-05-05T18:52:05Z</dcterms:created>
  <dcterms:modified xsi:type="dcterms:W3CDTF">2005-07-03T08:39:43Z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